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500" windowHeight="13350" tabRatio="839" activeTab="0"/>
  </bookViews>
  <sheets>
    <sheet name="Information" sheetId="1" r:id="rId1"/>
    <sheet name="Page de garde" sheetId="2" r:id="rId2"/>
    <sheet name="Accueil" sheetId="3" r:id="rId3"/>
    <sheet name="Cocktail" sheetId="4" r:id="rId4"/>
    <sheet name="Repas chaud" sheetId="5" r:id="rId5"/>
    <sheet name="Echoppes et buffets" sheetId="6" r:id="rId6"/>
    <sheet name="Soirée" sheetId="7" r:id="rId7"/>
    <sheet name="Mobilier" sheetId="8" r:id="rId8"/>
    <sheet name="Déroulement" sheetId="9" r:id="rId9"/>
    <sheet name="Dét. échoppes" sheetId="10" r:id="rId10"/>
    <sheet name="conditions générale" sheetId="11" r:id="rId11"/>
  </sheets>
  <definedNames>
    <definedName name="_xlnm.Print_Area" localSheetId="2">'Accueil'!$A$1:$F$13</definedName>
    <definedName name="_xlnm.Print_Area" localSheetId="3">'Cocktail'!$A$1:$G$25</definedName>
    <definedName name="_xlnm.Print_Area" localSheetId="5">'Echoppes et buffets'!$A$1:$F$40</definedName>
    <definedName name="_xlnm.Print_Area" localSheetId="0">'Information'!$A$1:$H$97</definedName>
    <definedName name="_xlnm.Print_Area" localSheetId="7">'Mobilier'!$A$1:$F$24</definedName>
    <definedName name="_xlnm.Print_Area" localSheetId="1">'Page de garde'!$A$1:$H$36</definedName>
    <definedName name="_xlnm.Print_Area" localSheetId="4">'Repas chaud'!$A$1:$F$108</definedName>
    <definedName name="_xlnm.Print_Area" localSheetId="6">'Soirée'!$A$1:$F$40</definedName>
  </definedNames>
  <calcPr fullCalcOnLoad="1"/>
</workbook>
</file>

<file path=xl/sharedStrings.xml><?xml version="1.0" encoding="utf-8"?>
<sst xmlns="http://schemas.openxmlformats.org/spreadsheetml/2006/main" count="733" uniqueCount="592">
  <si>
    <t>Nombre d'invités :</t>
  </si>
  <si>
    <t>au vin d'honneur</t>
  </si>
  <si>
    <t>au repas</t>
  </si>
  <si>
    <t>aux échoppes</t>
  </si>
  <si>
    <t>à la soirée</t>
  </si>
  <si>
    <t>Durée :</t>
  </si>
  <si>
    <t>si après minuit 26:00 pour 2h du matin…</t>
  </si>
  <si>
    <t>Heure de début</t>
  </si>
  <si>
    <t>(hh:mm)</t>
  </si>
  <si>
    <t>Heure de fin</t>
  </si>
  <si>
    <t>heures de service au total</t>
  </si>
  <si>
    <t>Durée du vin d'honneur</t>
  </si>
  <si>
    <t>marquer d'une X</t>
  </si>
  <si>
    <t>Brasseur</t>
  </si>
  <si>
    <t>en fonction du menu</t>
  </si>
  <si>
    <t>Pour le repas :</t>
  </si>
  <si>
    <t>Entrée froide</t>
  </si>
  <si>
    <t>Il vous est proposé un plat par défaut, mais vous pouvez aller dans l'onglet</t>
  </si>
  <si>
    <t xml:space="preserve"> "repas chaud" et choisir un autre plat.</t>
  </si>
  <si>
    <t>service</t>
  </si>
  <si>
    <t>Prestation de Service pour le repas :</t>
  </si>
  <si>
    <t>En gants blanc, service à la cloche</t>
  </si>
  <si>
    <t>En choisir minimum 3 pour un repas complet</t>
  </si>
  <si>
    <t>Pour le contenu de chaque échoppe et buffet, consulter l'onglet "dét echoppe"</t>
  </si>
  <si>
    <t>Scandinave</t>
  </si>
  <si>
    <t>Italienne</t>
  </si>
  <si>
    <t>Asiatique</t>
  </si>
  <si>
    <t>Grecque</t>
  </si>
  <si>
    <t>heure de service echoppe</t>
  </si>
  <si>
    <t>Espagnole</t>
  </si>
  <si>
    <t>total heure de service echopps</t>
  </si>
  <si>
    <t>Périgord</t>
  </si>
  <si>
    <t>Echoppe porchetta + salade bar</t>
  </si>
  <si>
    <t>Pour les buffets  :</t>
  </si>
  <si>
    <t>Pièce montée avec décor</t>
  </si>
  <si>
    <t>Soupe à l'oignon</t>
  </si>
  <si>
    <t>crèpe</t>
  </si>
  <si>
    <t>sandwich</t>
  </si>
  <si>
    <t>Le Plaisir de Recevoir</t>
  </si>
  <si>
    <t>Nom</t>
  </si>
  <si>
    <t>Prénom</t>
  </si>
  <si>
    <t>CP et Loc</t>
  </si>
  <si>
    <t>Tél</t>
  </si>
  <si>
    <t>Date</t>
  </si>
  <si>
    <t>Heure de fin théorique</t>
  </si>
  <si>
    <t>Coût total</t>
  </si>
  <si>
    <t>Cocktail</t>
  </si>
  <si>
    <t>Repas</t>
  </si>
  <si>
    <t>Soir</t>
  </si>
  <si>
    <t>10% pour bloquer la date</t>
  </si>
  <si>
    <t>le solde 1 semaine après</t>
  </si>
  <si>
    <t>Prix htva de 6% ou 21%</t>
  </si>
  <si>
    <t>Notre cave</t>
  </si>
  <si>
    <t>base</t>
  </si>
  <si>
    <t>selection</t>
  </si>
  <si>
    <t>prestige</t>
  </si>
  <si>
    <t xml:space="preserve">Toujours accompagnée d'eau plate et petillante </t>
  </si>
  <si>
    <t>Soirée</t>
  </si>
  <si>
    <t>Assortiment de 2 zakouski chaud et froid parmis 4 variétés</t>
  </si>
  <si>
    <t>Assortiment de 3 zakouski chaud et froid parmis 6 variétés</t>
  </si>
  <si>
    <t>Assortiment de 4 zakouski chaud et froid parmis 8 variétés</t>
  </si>
  <si>
    <t>Crudité</t>
  </si>
  <si>
    <t>Mini sandwich</t>
  </si>
  <si>
    <t>Soft : jus d'orange, jus de tomate, multi fruit, eau, coca, coca light</t>
  </si>
  <si>
    <t>Mousseux</t>
  </si>
  <si>
    <t>vin blanc, vin rouge, martini bl&amp;rou, campari, pisang</t>
  </si>
  <si>
    <t>Crémant</t>
  </si>
  <si>
    <t>Champagne</t>
  </si>
  <si>
    <t>Forfait boisons soft + bière + blanche</t>
  </si>
  <si>
    <t>forfait vin blanc, vin rouge, mouseux</t>
  </si>
  <si>
    <t>Matériel</t>
  </si>
  <si>
    <t>Avec Table hautes mange debout</t>
  </si>
  <si>
    <t>Avec Table hautes mange debout + déco florale</t>
  </si>
  <si>
    <t>Service</t>
  </si>
  <si>
    <t>heure de service</t>
  </si>
  <si>
    <t>nombre de convive par serveur</t>
  </si>
  <si>
    <t>tarif horaire</t>
  </si>
  <si>
    <t>Mobilier</t>
  </si>
  <si>
    <t>Buffet nappé tissus</t>
  </si>
  <si>
    <t>Tables rondes</t>
  </si>
  <si>
    <t>Base</t>
  </si>
  <si>
    <t>Séléction</t>
  </si>
  <si>
    <t>Prestige</t>
  </si>
  <si>
    <t>Royale</t>
  </si>
  <si>
    <t>Chaise</t>
  </si>
  <si>
    <t>semsonit</t>
  </si>
  <si>
    <t>Blanche</t>
  </si>
  <si>
    <t>velour(bord ou noir)</t>
  </si>
  <si>
    <t>Divers</t>
  </si>
  <si>
    <t>Sono et DJ</t>
  </si>
  <si>
    <t>Décoration florale</t>
  </si>
  <si>
    <t>Château gonflable</t>
  </si>
  <si>
    <t>Prix à déterminer</t>
  </si>
  <si>
    <t>feu d'artifice</t>
  </si>
  <si>
    <t>service limité, matériel</t>
  </si>
  <si>
    <t>Livraison</t>
  </si>
  <si>
    <t>Charcuterie (Jambon braisé, américain, jambon fumé, salami)</t>
  </si>
  <si>
    <t>Fromage (gouda, brie au miel et sirop de liège)</t>
  </si>
  <si>
    <t>enfants</t>
  </si>
  <si>
    <t>Conseil : 3 par 1/2 heure</t>
  </si>
  <si>
    <t xml:space="preserve">Assortiment de </t>
  </si>
  <si>
    <t>variétés</t>
  </si>
  <si>
    <t>Walking diner</t>
  </si>
  <si>
    <t>heures de service</t>
  </si>
  <si>
    <t>Froid</t>
  </si>
  <si>
    <t>Chaud</t>
  </si>
  <si>
    <t>magret de canard fumé sur frisée à l'huile de noisette</t>
  </si>
  <si>
    <t>mini croque</t>
  </si>
  <si>
    <t>escargot cresson</t>
  </si>
  <si>
    <t>jambon de parme melon</t>
  </si>
  <si>
    <t>nem</t>
  </si>
  <si>
    <t>scampi crème à l'ail</t>
  </si>
  <si>
    <t>saumon fumé</t>
  </si>
  <si>
    <t>mousse de feta</t>
  </si>
  <si>
    <t>queue de crevette en nem</t>
  </si>
  <si>
    <t>velouté de concombre</t>
  </si>
  <si>
    <t>Mini Pizza</t>
  </si>
  <si>
    <t>scampi raisin</t>
  </si>
  <si>
    <t>bouchée brocoli</t>
  </si>
  <si>
    <t>Dinatoire</t>
  </si>
  <si>
    <t>vanille et sa sauce</t>
  </si>
  <si>
    <t>parmesan</t>
  </si>
  <si>
    <t xml:space="preserve">margret de canard sur une frisée à l'huile </t>
  </si>
  <si>
    <t>Entrée Froide</t>
  </si>
  <si>
    <t>Pêche aux thon (enfant)</t>
  </si>
  <si>
    <t>Trilogie de saumon, aumônière de saumon fumé, tartare</t>
  </si>
  <si>
    <t>de saumon à l'aneth,carpaccio de saumon à la vanille.</t>
  </si>
  <si>
    <t>Le foir gras sous toutes ses formes :</t>
  </si>
  <si>
    <t>aux figues et gelée de sauterne, poilé aux poires</t>
  </si>
  <si>
    <t>soupe au foie gras</t>
  </si>
  <si>
    <t>gésier, toast brioché</t>
  </si>
  <si>
    <t>Salade folle de caille fumée désossée en tenue du retour des</t>
  </si>
  <si>
    <t>Entrée Chaude</t>
  </si>
  <si>
    <t>Le croustillant de rouget aux olives et fleur de sel</t>
  </si>
  <si>
    <t>Bar de ligne en habit vert déposé sur tagliatelles fraîche</t>
  </si>
  <si>
    <t>Délicieux caramels de homard saucé homardier</t>
  </si>
  <si>
    <t>Potage</t>
  </si>
  <si>
    <t>Potiron</t>
  </si>
  <si>
    <t>Velouté de chicons aux crevettes grises</t>
  </si>
  <si>
    <t>Sorbet</t>
  </si>
  <si>
    <t>Glace</t>
  </si>
  <si>
    <t>Fraise</t>
  </si>
  <si>
    <t>Plat</t>
  </si>
  <si>
    <t>Mangue</t>
  </si>
  <si>
    <t>chicon ardennais et gratin</t>
  </si>
  <si>
    <t>Suprême de volaille poivre rose et vert déposé sur une compote</t>
  </si>
  <si>
    <t>Noisette d'agneau au fumet de menthe</t>
  </si>
  <si>
    <t>Noisette d'agneau aux légumes printaniers et gratin dauphinois</t>
  </si>
  <si>
    <t xml:space="preserve">Duo de lotte et Saint Jacques en nage de légumes cuits au </t>
  </si>
  <si>
    <t>Fromage</t>
  </si>
  <si>
    <t>Dessert</t>
  </si>
  <si>
    <t>Assiette gourmande</t>
  </si>
  <si>
    <t>Café</t>
  </si>
  <si>
    <t>buffet, café, thé</t>
  </si>
  <si>
    <t>10 = service à la cloche et gants blanc</t>
  </si>
  <si>
    <t>nombre de convives par serveur</t>
  </si>
  <si>
    <t>15 = vin et eau servie</t>
  </si>
  <si>
    <t xml:space="preserve">20 = vin servi, eau sur table </t>
  </si>
  <si>
    <t>25 = vin et eau sur table</t>
  </si>
  <si>
    <t>Echoppe</t>
  </si>
  <si>
    <t>Buffet</t>
  </si>
  <si>
    <t>Matériel Buffet</t>
  </si>
  <si>
    <t>pièce</t>
  </si>
  <si>
    <t>Déroulement de la réception</t>
  </si>
  <si>
    <t>Nom :</t>
  </si>
  <si>
    <t>Date :</t>
  </si>
  <si>
    <t>Lieu :</t>
  </si>
  <si>
    <t>Echoppe Scandinave</t>
  </si>
  <si>
    <t>Echoppe Italienne</t>
  </si>
  <si>
    <t>Tomate mozzarella</t>
  </si>
  <si>
    <t>Duo de melon au parme</t>
  </si>
  <si>
    <t>Antipasti</t>
  </si>
  <si>
    <t>Lasagne à la bolognaise</t>
  </si>
  <si>
    <t>Tortellini aux épinards</t>
  </si>
  <si>
    <t>Escalope et risotto</t>
  </si>
  <si>
    <t>Pain Italien et grisini</t>
  </si>
  <si>
    <t>Echoppe Asiatique</t>
  </si>
  <si>
    <t>Variétés de nems</t>
  </si>
  <si>
    <t>Et leurs sauces</t>
  </si>
  <si>
    <t>Rouleaux de printemps</t>
  </si>
  <si>
    <t>Merguez</t>
  </si>
  <si>
    <t>Gambas</t>
  </si>
  <si>
    <t>Salade bar</t>
  </si>
  <si>
    <t>Pâte</t>
  </si>
  <si>
    <t xml:space="preserve">Gaspacho et ses garnitures </t>
  </si>
  <si>
    <t xml:space="preserve">Chorizo </t>
  </si>
  <si>
    <t xml:space="preserve">Salami de montagne </t>
  </si>
  <si>
    <t xml:space="preserve">Jambon Serrano </t>
  </si>
  <si>
    <t xml:space="preserve">Tortillas de Patatas </t>
  </si>
  <si>
    <t xml:space="preserve">Salade de thon aux olives </t>
  </si>
  <si>
    <t xml:space="preserve">Tomates séchées </t>
  </si>
  <si>
    <t>et ses charlottes</t>
  </si>
  <si>
    <t>Tarama</t>
  </si>
  <si>
    <t>Tzaziki</t>
  </si>
  <si>
    <t>Salade landaise</t>
  </si>
  <si>
    <t>Foie gras nature sur pain d'épice et confiture de figue</t>
  </si>
  <si>
    <t>Trilogie de foie gras artisanal</t>
  </si>
  <si>
    <t xml:space="preserve">Magret de canard </t>
  </si>
  <si>
    <t>Buffet mixte</t>
  </si>
  <si>
    <t>Salaisons (Salami, rosette de Lyon, chorizo) </t>
  </si>
  <si>
    <t>Foie gras aux morilles</t>
  </si>
  <si>
    <t>Tomate basilic</t>
  </si>
  <si>
    <t>purée de fèves</t>
  </si>
  <si>
    <t>Créer votre propre site pour votre mariage</t>
  </si>
  <si>
    <t>www.Monbeaumariage.com</t>
  </si>
  <si>
    <t>Nappe tissu serviette papier</t>
  </si>
  <si>
    <t>House</t>
  </si>
  <si>
    <t>Ivoire</t>
  </si>
  <si>
    <t>Nœud</t>
  </si>
  <si>
    <t>ivoire</t>
  </si>
  <si>
    <t>Bordeau</t>
  </si>
  <si>
    <t>Gris</t>
  </si>
  <si>
    <t>Noire</t>
  </si>
  <si>
    <t>lucra noire</t>
  </si>
  <si>
    <t>lucra Blanc</t>
  </si>
  <si>
    <t>Nappe tissu serviette tissu</t>
  </si>
  <si>
    <t>Voici quelques questions afin de cibler au mieux ce dont vous avez besoin.</t>
  </si>
  <si>
    <t>Adultes</t>
  </si>
  <si>
    <t>Boissons à fournir par nous :</t>
  </si>
  <si>
    <t>Vin de base</t>
  </si>
  <si>
    <t>Vin sélection</t>
  </si>
  <si>
    <t>Vin prestige</t>
  </si>
  <si>
    <t>(vin du pays simple mais bon et pas trop fort, plutôt pour les buffet)</t>
  </si>
  <si>
    <t>Entrée chaude</t>
  </si>
  <si>
    <t>Vin et eau servis à table</t>
  </si>
  <si>
    <t>Eau à disposition sur table et vin servi</t>
  </si>
  <si>
    <t>Eau et vin à disposition sur table</t>
  </si>
  <si>
    <t>Pour les échoppes  :</t>
  </si>
  <si>
    <t>Orientale</t>
  </si>
  <si>
    <t>Echoppe grillades + salade bar</t>
  </si>
  <si>
    <t>Echoppe fromage</t>
  </si>
  <si>
    <t>Fontaine de fruits</t>
  </si>
  <si>
    <t>Crêpes</t>
  </si>
  <si>
    <t>Campagnard</t>
  </si>
  <si>
    <t>Mixte</t>
  </si>
  <si>
    <t>Buffet de mini desserts</t>
  </si>
  <si>
    <t>Sandwichs</t>
  </si>
  <si>
    <t>Terroir belge</t>
  </si>
  <si>
    <t>Adresse</t>
  </si>
  <si>
    <t>Mail</t>
  </si>
  <si>
    <t>Lieu de la réception</t>
  </si>
  <si>
    <t>Conditions de paiement</t>
  </si>
  <si>
    <t>Café, eau, jus, viennoiseries.</t>
  </si>
  <si>
    <t>Mousseux, vin blanc, vin rouge, softs, jus</t>
  </si>
  <si>
    <t>Crudités</t>
  </si>
  <si>
    <t>Mini sandwichs</t>
  </si>
  <si>
    <t>Chips party</t>
  </si>
  <si>
    <t>Avec Table haute mange debout</t>
  </si>
  <si>
    <t>Avec Table haute mange debout + déco florale</t>
  </si>
  <si>
    <t>tomates mozzarella et basilic</t>
  </si>
  <si>
    <t>foie gras et sa confiture de figue</t>
  </si>
  <si>
    <t>mousse de thon</t>
  </si>
  <si>
    <t>mousse de crabe</t>
  </si>
  <si>
    <t>mousse de canard sur pain d'épice</t>
  </si>
  <si>
    <t>verrine mousse de jambon</t>
  </si>
  <si>
    <t>sauce aigre douce</t>
  </si>
  <si>
    <t>bouchée jambon fromage brocoli</t>
  </si>
  <si>
    <t>bouchée chicon</t>
  </si>
  <si>
    <t>bouchée champignon asperge</t>
  </si>
  <si>
    <t>brochette yakitori</t>
  </si>
  <si>
    <t>Brochette de fruits</t>
  </si>
  <si>
    <t>saumon crème aigre</t>
  </si>
  <si>
    <t>thon pêche</t>
  </si>
  <si>
    <t>rôti de bœuf à l'ancienne</t>
  </si>
  <si>
    <t>mortadelle roquette</t>
  </si>
  <si>
    <t>pruneau lardon</t>
  </si>
  <si>
    <t xml:space="preserve">carpaccio de saumon arômatisé à la </t>
  </si>
  <si>
    <t>tomate mozzarella et basilic</t>
  </si>
  <si>
    <t xml:space="preserve">foie gras sur pain brioché et confiture </t>
  </si>
  <si>
    <t>gaspacho</t>
  </si>
  <si>
    <t>de figues</t>
  </si>
  <si>
    <t xml:space="preserve">carpaccio de bœuf et copeaux de </t>
  </si>
  <si>
    <t>de noisettes</t>
  </si>
  <si>
    <t>Buffet : variété de poissons et choix de charcuterie</t>
  </si>
  <si>
    <t>terrines aux 3 poissons</t>
  </si>
  <si>
    <t>Carpaccio de bœuf et copeaux de parmesan sur ricotta</t>
  </si>
  <si>
    <t>Cœur de filet de saumon mariné et tartare de courgettes tomaté</t>
  </si>
  <si>
    <t>Croustillant d'asperges et saumons fumé à la crème de ciboulette</t>
  </si>
  <si>
    <t xml:space="preserve">Salade Landaise, magret de canard fumé, mousse de canard, </t>
  </si>
  <si>
    <t>beaux jours</t>
  </si>
  <si>
    <t>Croquette de jambon (enfant)</t>
  </si>
  <si>
    <t>Médaillon de filet de sole farci au saumon</t>
  </si>
  <si>
    <t>Filet de sole à l'écossaise, crème champagne et crevettes grises</t>
  </si>
  <si>
    <t>Noix de Saint Jacques aux agrumes et julienne de légumes</t>
  </si>
  <si>
    <t>Queue de lotte au fenouil sauce homardine</t>
  </si>
  <si>
    <t>Cresson</t>
  </si>
  <si>
    <t>Crème de Malines (chou fleur)</t>
  </si>
  <si>
    <t>Citron/eau de Villée</t>
  </si>
  <si>
    <t>Passion/Champagne</t>
  </si>
  <si>
    <t>Pomme verte/vieille pomme de Biersée</t>
  </si>
  <si>
    <t>Poire/poire William</t>
  </si>
  <si>
    <t>Carré au filet de porc sauce moutarde de Meaux</t>
  </si>
  <si>
    <t>de pommes aux abricots, gratin dauphinois.</t>
  </si>
  <si>
    <t>gratin dauphinois ou taboulet et sa garniture</t>
  </si>
  <si>
    <t>Tournedos façon Rossini, poêlée périgourdine (cèpes, braisure de truffe)</t>
  </si>
  <si>
    <t>Mignon de veau, sauce porto et pleurotes sur légumes de saison</t>
  </si>
  <si>
    <t>farandole de petits légumes du printemps(navets, carottes, p pois, pleurottes,..)</t>
  </si>
  <si>
    <t xml:space="preserve">Tiramisu de fraises au sirop de Banyuls balsamique </t>
  </si>
  <si>
    <t>Tiramisu aux spéculoos</t>
  </si>
  <si>
    <t>Mignardises</t>
  </si>
  <si>
    <t>3 services</t>
  </si>
  <si>
    <t>4 services</t>
  </si>
  <si>
    <t>5 services</t>
  </si>
  <si>
    <t>6 services</t>
  </si>
  <si>
    <t>7 services</t>
  </si>
  <si>
    <t>8 services</t>
  </si>
  <si>
    <t>Sélection</t>
  </si>
  <si>
    <t>Savoyarde</t>
  </si>
  <si>
    <t>Créole</t>
  </si>
  <si>
    <t>Echoppe fromages</t>
  </si>
  <si>
    <t>Forfait vin blanc, vin rouge, mousseux</t>
  </si>
  <si>
    <t>Chaise + housse</t>
  </si>
  <si>
    <t>Nappe papier serviette papier</t>
  </si>
  <si>
    <t>Penne carbonara</t>
  </si>
  <si>
    <t>Fusilli aux fruits de mer</t>
  </si>
  <si>
    <t>Parmesan rapé</t>
  </si>
  <si>
    <t>Gruyère rapé</t>
  </si>
  <si>
    <t>Salade de riz</t>
  </si>
  <si>
    <t>Scampis aigre doux</t>
  </si>
  <si>
    <t>Shop suey</t>
  </si>
  <si>
    <t>Sushis + sauce</t>
  </si>
  <si>
    <t>Echoppe Grillades</t>
  </si>
  <si>
    <t>Brochettes d'agneau</t>
  </si>
  <si>
    <t>Saucisses</t>
  </si>
  <si>
    <t>Minis boudins</t>
  </si>
  <si>
    <t>Côtes d'agneau</t>
  </si>
  <si>
    <t>Pommes de terre en chemise</t>
  </si>
  <si>
    <t>Pommes de terre</t>
  </si>
  <si>
    <t>Taboulé</t>
  </si>
  <si>
    <t>Riz</t>
  </si>
  <si>
    <t>Petits oignons</t>
  </si>
  <si>
    <t>Cornichons</t>
  </si>
  <si>
    <t>Carottes</t>
  </si>
  <si>
    <t>Tomates</t>
  </si>
  <si>
    <t>Concombres</t>
  </si>
  <si>
    <t>Haricots</t>
  </si>
  <si>
    <t>Choux fleurs</t>
  </si>
  <si>
    <t>Echoppe Espagnole</t>
  </si>
  <si>
    <t xml:space="preserve">Paella à la Valenciana </t>
  </si>
  <si>
    <t>Anchois marinés</t>
  </si>
  <si>
    <t>Asperges mimosa</t>
  </si>
  <si>
    <t>Terrine de Chimay</t>
  </si>
  <si>
    <t>Charcuteries ardennaises</t>
  </si>
  <si>
    <t>Waterzooï à la Gantoise</t>
  </si>
  <si>
    <t>Fromage belge</t>
  </si>
  <si>
    <t>Pain</t>
  </si>
  <si>
    <t>Echoppe Grecque</t>
  </si>
  <si>
    <t>Calamars frits</t>
  </si>
  <si>
    <t>Salade grecque</t>
  </si>
  <si>
    <t>La moussaka</t>
  </si>
  <si>
    <t>Echoppe Périgord</t>
  </si>
  <si>
    <t>Spéculoos</t>
  </si>
  <si>
    <t>Muscat</t>
  </si>
  <si>
    <t>fruits confits</t>
  </si>
  <si>
    <t>Foie gras pôelé accompagné de compote de pommes</t>
  </si>
  <si>
    <t>Tarte de rillette sur un lit de pommes</t>
  </si>
  <si>
    <t>Pôelée  de cèpes</t>
  </si>
  <si>
    <t>Pomme de terre sarladaises</t>
  </si>
  <si>
    <t>Duo de rôtis (Porc et Bœuf)</t>
  </si>
  <si>
    <t>Lard Braisé</t>
  </si>
  <si>
    <t>Trois sauces et Vinaigrette</t>
  </si>
  <si>
    <t>Beurre et petits pains variés</t>
  </si>
  <si>
    <t>Pâté de Campagne et ses condiments</t>
  </si>
  <si>
    <t>Cobourg Fumé</t>
  </si>
  <si>
    <t>Pilons de Poulets Marinés</t>
  </si>
  <si>
    <t>Roulade de Jambon Braisé et Asperges</t>
  </si>
  <si>
    <t>Pain de viande Rôti</t>
  </si>
  <si>
    <t>Oeufs verdurettes</t>
  </si>
  <si>
    <t>Terrine de légumes (Carottes et brocolis) </t>
  </si>
  <si>
    <t>Assortiment de salades et Crudités</t>
  </si>
  <si>
    <t>Riz, Pâtes et Pommes de terre</t>
  </si>
  <si>
    <t>En gants blancs, service à la cloche</t>
  </si>
  <si>
    <t>Duo d'asperges blanche et sauvage, décortiqué d'écrevisse</t>
  </si>
  <si>
    <t>Duo de pâtes (canelloni bolognaise, tortellinis épinards)</t>
  </si>
  <si>
    <t>Filet de veau aux morilles, flan aux courgettes</t>
  </si>
  <si>
    <t>Gigotin de la poularde de Bresse aux herbes fraîches, GD</t>
  </si>
  <si>
    <t>Magret de canard poêlé aux cerises griottes</t>
  </si>
  <si>
    <t>Veau moutardé à l'ancienne et émulsion de romarin</t>
  </si>
  <si>
    <t>Soufflé au Grand Marnier</t>
  </si>
  <si>
    <t>adultes</t>
  </si>
  <si>
    <t>Echoppe Terroir belge</t>
  </si>
  <si>
    <t>Echoppe Orientale</t>
  </si>
  <si>
    <t>Terroir Belge</t>
  </si>
  <si>
    <t>Pour la soirée  :</t>
  </si>
  <si>
    <t>de l'évènement</t>
  </si>
  <si>
    <t>Poisson (crevettes grises, saumon fumé, salade de thon, salade de crabe)</t>
  </si>
  <si>
    <t>sur acidulé de tiges d'asperges coriandre et pistache</t>
  </si>
  <si>
    <t>Tagliatelles au saumon</t>
  </si>
  <si>
    <t>Aubergines marinées</t>
  </si>
  <si>
    <t>Courgettes grillées</t>
  </si>
  <si>
    <t>Charcuteries italiennes</t>
  </si>
  <si>
    <t>Potage tomates basilic</t>
  </si>
  <si>
    <t>Nouilles chinoises en salade</t>
  </si>
  <si>
    <t>Semoule et son bouillon</t>
  </si>
  <si>
    <t>Pilons de poulet</t>
  </si>
  <si>
    <t>Salade de pois chiches</t>
  </si>
  <si>
    <t>Salade de carottes à la coriandre</t>
  </si>
  <si>
    <t>Taboulé  au raisin sec</t>
  </si>
  <si>
    <t>Taboulé aux légumes</t>
  </si>
  <si>
    <t>Saumon nordique</t>
  </si>
  <si>
    <t>Elbo fumé</t>
  </si>
  <si>
    <t>Aiguillette de saumon mielé</t>
  </si>
  <si>
    <t>Tourte à la scandinave</t>
  </si>
  <si>
    <t>Cabillaud à la sauce poireaux</t>
  </si>
  <si>
    <t>Purée</t>
  </si>
  <si>
    <t>Tomate crevettes grises</t>
  </si>
  <si>
    <t>Terrine de la mer</t>
  </si>
  <si>
    <t>Sauce coktail</t>
  </si>
  <si>
    <t>Feuilles de vigne</t>
  </si>
  <si>
    <t>Mini brochettes d’agneau sauce à l’ail</t>
  </si>
  <si>
    <t>Soft : jus d'orange, jus de tomate, multi fruits, eau, coca, coca light</t>
  </si>
  <si>
    <t xml:space="preserve">zakouskis chauds et froids parmis </t>
  </si>
  <si>
    <t>fromage blanc maison aux fines herbes</t>
  </si>
  <si>
    <t>fromage de Chimay</t>
  </si>
  <si>
    <t>brie sirop de Liège</t>
  </si>
  <si>
    <t>carpaccio de truite à la vanille</t>
  </si>
  <si>
    <t>La farandole de foie gras maison (chocolat, spéculoos et cerises)</t>
  </si>
  <si>
    <t xml:space="preserve"> et son arc-en-ciel de confits</t>
  </si>
  <si>
    <t>Gelées de fruits frais au muscat</t>
  </si>
  <si>
    <t>zakouskis par personne</t>
  </si>
  <si>
    <t>par personne</t>
  </si>
  <si>
    <t>verrines de crevettes grises sur fromage aux fines herbes</t>
  </si>
  <si>
    <t>magret de canard</t>
  </si>
  <si>
    <t>Parfait au spéculoos</t>
  </si>
  <si>
    <t>(Chardonnay en blanc, 1er Côte de Blaye en rouge)</t>
  </si>
  <si>
    <t>scampis crème à l'ail</t>
  </si>
  <si>
    <t>poulet coco</t>
  </si>
  <si>
    <t>duo de bar sauce champagne</t>
  </si>
  <si>
    <t>Enfants &lt;12 ans</t>
  </si>
  <si>
    <t>Enfants</t>
  </si>
  <si>
    <t>Prestation de Service pour les échoppes et buffets :</t>
  </si>
  <si>
    <t>Aumonière de San Daniele sur légumes grillés</t>
  </si>
  <si>
    <t>Damier de truite aux petits légumes, mousse de truite fumée au raifort</t>
  </si>
  <si>
    <t xml:space="preserve">Noix de Saint Jacques dorées, marinade croquante de légumes, </t>
  </si>
  <si>
    <t>salade d'herbes tendres</t>
  </si>
  <si>
    <t>Filet de rouget à l'armoricaine</t>
  </si>
  <si>
    <t>Duo de St Jacques et scampi sur un riz safrané</t>
  </si>
  <si>
    <t>Crème d' asperges</t>
  </si>
  <si>
    <t>Buffet ou assiette variée</t>
  </si>
  <si>
    <t>Enfants  &lt;12 ans</t>
  </si>
  <si>
    <t>Idem mais avec chandelier et 4 petites bougies  sur la table</t>
  </si>
  <si>
    <t>Velours (bordeaux ou noire)</t>
  </si>
  <si>
    <t>grisette</t>
  </si>
  <si>
    <t>Enfant(s) de 2 à 12</t>
  </si>
  <si>
    <t>Enfant(s) de 0 à 2</t>
  </si>
  <si>
    <t>On ne prépare rien à manger pour eux</t>
  </si>
  <si>
    <t>Menu enfant</t>
  </si>
  <si>
    <t>CTRL A pour tout imprimer</t>
  </si>
  <si>
    <t>Echoppe à emporter + 10% (pour la cuisson)</t>
  </si>
  <si>
    <t>&lt; de 30 personnes +50 € de frais fix</t>
  </si>
  <si>
    <t>&lt; de 20 personnes + 75 € de frais fix</t>
  </si>
  <si>
    <t>&lt; de 15 personnes + 100 € de frais fix</t>
  </si>
  <si>
    <t>Buffet froid à emporter</t>
  </si>
  <si>
    <t>&lt; 20 personnes + 50 € de frais fix</t>
  </si>
  <si>
    <t>&lt; 15 personnes + 75 € de frais fix</t>
  </si>
  <si>
    <t>Echoppe grillade ou porchetta seul</t>
  </si>
  <si>
    <t>Cuisinier sur place minimum 5h à 22 €/h</t>
  </si>
  <si>
    <t>exemples de  Zaks</t>
  </si>
  <si>
    <t>bar à soupe</t>
  </si>
  <si>
    <t xml:space="preserve">Buffet de mini desserts </t>
  </si>
  <si>
    <t>PROMO LOCATION !!!!</t>
  </si>
  <si>
    <t>Château Gonflable voir onglet mobilier</t>
  </si>
  <si>
    <t>Candy Bar</t>
  </si>
  <si>
    <t>Candy Bar thématique avec décor et contenants</t>
  </si>
  <si>
    <t>Bar à gaufres</t>
  </si>
  <si>
    <t>Bar à soupe</t>
  </si>
  <si>
    <t>(automne et hiver)</t>
  </si>
  <si>
    <t>(possibilité soupe froide en été)</t>
  </si>
  <si>
    <t>Corail</t>
  </si>
  <si>
    <t>Vieux rose</t>
  </si>
  <si>
    <t>Vert pomme</t>
  </si>
  <si>
    <t xml:space="preserve">Gris </t>
  </si>
  <si>
    <t>Rouge</t>
  </si>
  <si>
    <t>Blanc</t>
  </si>
  <si>
    <t>Chocolat</t>
  </si>
  <si>
    <t>Bordeaux</t>
  </si>
  <si>
    <t>Idem + nœud gris, chocolat ou vert pomme</t>
  </si>
  <si>
    <t>Coloris nappes :</t>
  </si>
  <si>
    <t>Coloris serviettes tissus:</t>
  </si>
  <si>
    <t xml:space="preserve">Accueil au domicile  </t>
  </si>
  <si>
    <t>Echoppe Tex Mex</t>
  </si>
  <si>
    <t>Brochette d'agneau</t>
  </si>
  <si>
    <t>steack haché</t>
  </si>
  <si>
    <t>PDT en chemise</t>
  </si>
  <si>
    <t>pilon de poulet</t>
  </si>
  <si>
    <t>Echine de porc</t>
  </si>
  <si>
    <t>Fajitas au poulet</t>
  </si>
  <si>
    <t>Empanadas</t>
  </si>
  <si>
    <t>salade mexicaine</t>
  </si>
  <si>
    <t>chili corn carné</t>
  </si>
  <si>
    <t>salade texane</t>
  </si>
  <si>
    <t>steak de 100 gr</t>
  </si>
  <si>
    <t>Quiches aux épinards</t>
  </si>
  <si>
    <t>Tex Mex</t>
  </si>
  <si>
    <t>Echoppe Savoyarde</t>
  </si>
  <si>
    <t xml:space="preserve">Fondue </t>
  </si>
  <si>
    <t>Raclette</t>
  </si>
  <si>
    <t>autres couleurs de nœuds disponible</t>
  </si>
  <si>
    <t>nœud chocolat gris ou vert pomme à l'unité</t>
  </si>
  <si>
    <t>Echoppe Créole</t>
  </si>
  <si>
    <t>Salade de crevettes des tropiques</t>
  </si>
  <si>
    <t>salade de carambole et mangue sur une vinaigrette au gingembre</t>
  </si>
  <si>
    <t>salade de thon au curry et aux fruits tropicaux</t>
  </si>
  <si>
    <t>salade de porc tropical à l'orange et menthe</t>
  </si>
  <si>
    <t>salade créole d'épinards</t>
  </si>
  <si>
    <t>Riz sauvage au curry et poulet aux épices</t>
  </si>
  <si>
    <t>filet de rouget créole</t>
  </si>
  <si>
    <t>poulet au coco</t>
  </si>
  <si>
    <t>Fritkot</t>
  </si>
  <si>
    <t>glacée ou pâtissière</t>
  </si>
  <si>
    <t>Dos de pintadeau caramélisé, pomme macaire, panier de légumes</t>
  </si>
  <si>
    <t xml:space="preserve">Charlotte aux deux chocolats </t>
  </si>
  <si>
    <t xml:space="preserve">pour le </t>
  </si>
  <si>
    <t>Enfant(s) &gt; 2ans &lt; 12 ans</t>
  </si>
  <si>
    <t>Enfant(s) &lt; 2ans</t>
  </si>
  <si>
    <t>Présentation le</t>
  </si>
  <si>
    <t xml:space="preserve">confirmer le </t>
  </si>
  <si>
    <t>Soft pendant le repas</t>
  </si>
  <si>
    <t>Forfait boissons softs + jupiler + blanches</t>
  </si>
  <si>
    <t>Fritkot (mini cornet de frite, mini hamburger et fricadelle, sauce dont une mayo à la truffe</t>
  </si>
  <si>
    <t>casis,vin blanc, vin rouge, martini bl&amp;rou, campari, pisang</t>
  </si>
  <si>
    <t>casis, vin blanc, vin rouge, martini bl&amp;rou, campari, pisang</t>
  </si>
  <si>
    <t>HTVA12 %</t>
  </si>
  <si>
    <t>HTVA21 %</t>
  </si>
  <si>
    <t>Total TVAC</t>
  </si>
  <si>
    <t>source</t>
  </si>
  <si>
    <t xml:space="preserve">Pour le </t>
  </si>
  <si>
    <t>Nombre définitif de personne</t>
  </si>
  <si>
    <t>Plan de table</t>
  </si>
  <si>
    <t>Parfum du gâteau</t>
  </si>
  <si>
    <t>TVA</t>
  </si>
  <si>
    <t>Total TVA</t>
  </si>
  <si>
    <t>80% une semaine avant l'évènement</t>
  </si>
  <si>
    <t>Softs : jus d'orange, jus pomme cerise, multi fruits, eau, coca, coca zero</t>
  </si>
  <si>
    <t>X5 gris claire</t>
  </si>
  <si>
    <t>aiguillette de saumon mielé</t>
  </si>
  <si>
    <t>L'Agrume Au Crabe,</t>
  </si>
  <si>
    <t>La Terrine de L'Océan aux Herbes Fraîches,</t>
  </si>
  <si>
    <t>La Pêche au Thon,</t>
  </si>
  <si>
    <t>La Brochette de Scampi aux Fruits Frais, </t>
  </si>
  <si>
    <t>Tomate crevette grise</t>
  </si>
  <si>
    <t>Ecrevisses</t>
  </si>
  <si>
    <t>Langoustines</t>
  </si>
  <si>
    <t>Accompagné de pain et beurre</t>
  </si>
  <si>
    <t>Glace enfant</t>
  </si>
  <si>
    <t>Suprême de volaille, compote de pommes, pomme croquette(enfant)</t>
  </si>
  <si>
    <t>Conditions générales de vente</t>
  </si>
  <si>
    <t>Conditions TRAITEUR</t>
  </si>
  <si>
    <t>1. Les présentes conditions générales forment le contrat liant les parties, à l’exclusion de conditions propres au client, et concernent « Le plaisir de recevoir sprl »Il ne sera admis aucune dérogation aux présentes conditions générales, sauf accord écrit entre les parties. L’absence de mise en oeuvre d’une clause établie dans les présentes conditions générales ne peut être interprétée comme une renonciation. « Le plaisir de recevoir » respecte votre vie privée.</t>
  </si>
  <si>
    <t>2. Les offres de «Le plaisir de recevoir » sont faites sans engagement. «Le plaisir de recevoir »  ne pourra être considérée comme engagée que pour autant qu’elle ait accepté la commande par écrit et que l’acompte demandé ait été payé. En toute hypothèse, les prix contenus dans l’offre ne seront plus valables si l’offre n’a pas été acceptée par le client et par «Le plaisir de recevoir » dans un délai de trente jours à dater de la date mentionnée dans l’offre.</t>
  </si>
  <si>
    <t>3. L’offre s’entend hors eaux, fluides et frais éventuels d’alimentation et de distribution électriques.</t>
  </si>
  <si>
    <t>4. L’offre est calculée pour le nombre de convives prévu. Tout changement du nombre de participants entraîne de facto une modification du prix en relation avec la répartition des frais fixes tels que le personnel et le matériel. En toute hypothèse, les conditions de travail au “forfait” obligent «Le plaisir de recevoir » à revoir ses prix si le nombre présumé ou commandé est inférieur de plus de 10 % à celui communiqué lors de l’établissement de l’offre au “forfait”. Lors de l’exécution de travaux au “forfait”, tout retard ou arrêt non prévu dans les conditions convenues, sera facturé au client.</t>
  </si>
  <si>
    <t>5. Une augmentation des prix des matières premières, du matériel ou des salaires éventuels intervenant entre la commande et son exécution donnera automatiquement lieu à un réajustement des prix qui ne sont établis que sous cette réserve exprès, sans que cette augmentation ne puisse excéder 15% du montant de l’offre acceptée.</t>
  </si>
  <si>
    <t>6. Dans le cas où la commande comprendrait également des prestations de services, le client donne mandat exprès «Le plaisir de recevoir » d’engager, dans le cadre d’un contrat de louage d’entreprise, les serveurs et le personnel auxiliaire nécessaires à la prestation aux conditions stipulées dans l’offre, que le client déclare connaître et accepter. Le client s’engage à rembourser ces frais à première demande. Le client déclare exonérer «Le plaisir de recevoir » de toute responsabilité quelconque dans le cadre de ce mandat et la garantir contre toute action qui pourrait être intentée contre elle par un membre du personnel auquel il aurait été fait appel.</t>
  </si>
  <si>
    <t>7. Toute modification intervenant après l’acceptation de la commande devra être transmise «Le plaisir de recevoir » par écrit au plus tard dix jours avant le début de l’événement, étant entendu que «Le plaisir de recevoir »  se réserve dans ce cas le droit de modifier son offre en conséquence.</t>
  </si>
  <si>
    <t>Le client s’engage en particulier à notifier par écrit toute augmentation du nombre d’invités au plus tard dix jours avant le début de l’événement. Si le client prévient d’une augmentation du nombre d’invités moins de quinze jours avant le début de l’événement, il marque son accord pour que les invités supplémentaires lui soient comptés à 125%.</t>
  </si>
  <si>
    <t>Dans l’hypothèse où, sans que «Le plaisir de recevoir » n’en ait été avertie dans les conditions décrites ci-avant, le nombre d’invités présents viendrait à être supérieur au nombre d’invités annoncés, le client accepte que les invités supplémentaires lui soient comptés au montant convenu dans la commande, majoré de 50%.</t>
  </si>
  <si>
    <t>8. Le client s’assurera que l’accès de ses locaux et leur alimentation électrique, climatisation éventuelle et raccordements sont en tous points conformes aux caractéristiques et normes techniques du matériel utilisé.</t>
  </si>
  <si>
    <t>9. Le client s’engage à mettre à disposition du personnel «Le plaisir de recevoir »  plusieurs emplacements de parking sur le lieu de l’événement.</t>
  </si>
  <si>
    <t>10. Les prix mentionnés dans l’offre ne tiennent pas compte des difficultés d’organisation rencontrées sur certains sites et peuvent être revus selon les circonstances.</t>
  </si>
  <si>
    <t>11. «Le plaisir de recevoir » décline toute responsabilité quelconque pour les dommages de toute nature affectant les biens du client ou appartenant aux participants, bien que ces dommages résultent de sa faute lourde ou légère non intentionnelle, et quel que soit l’endroit où ces biens sont déplacés ou entreposés.</t>
  </si>
  <si>
    <t>12. Une annulation de commande par le client doit obligatoirement avoir lieu par courrier recommandé. En cas d’annulation de la commande par le client plus de dix jours avant l’événement (date de la poste faisant foi), le client s’engage à indemniser «Le plaisir de recevoir » à concurrence d’un montant fixé forfaitairement à 10% du prix du marché conclu, outre le remboursement «Le plaisir de recevoir » de tous les frais encourus jusqu’au jour de l’annulation.</t>
  </si>
  <si>
    <t>En cas d’annulation de la commande par le client moins de dix jours avant l’événement, le client s’engage à indemniser «Le plaisir de recevoir » à concurrence d’un montant fixé forfaitairement à 50% du prix du marché conclu, outre le remboursement «Le plaisir de recevoir » de tous les frais encourus jusqu’au jour de l’annulation.</t>
  </si>
  <si>
    <t>13. Toutes les factures sont payables au grand comptant. Toute somme impayée à l’échéance donnera lieu au paiement de plein droit et sans mise en demeure préalable d’un intérêt de retard de 1% par mois et d’une indemnité forfaitaire et irréductible de 15% avec un minimum de 125 euros à titre de dommages et intérêts.</t>
  </si>
  <si>
    <t>14. La location éventuelle de matériel se fait sous la seule et entière responsabilité du client qui sera tenu d’indemniser toute perte et dégât généralement quelconques pouvant survenir à ce matériel, même fortuit. Ainsi, notamment, tout dégât occasionné au nappage (brûlures, taches…) ou au matériel sera facturé au client.</t>
  </si>
  <si>
    <t>15. Les parties conviennent expressément qu’une facture non valablement contestée dans les huit jours de la date de la facture, par courrier recommandé, sera considérée comme acceptée.</t>
  </si>
  <si>
    <t>16. Dans le cas où une réclamation serait fondée, la responsabilité «Le plaisir de recevoir »  ne pourra dépasser la valeur de la marchandise fournie. En toute hypothèse, «Le plaisir de recevoir » décline toute responsabilité du chef de retards ou défaut de livraison en cas de difficultés d’accès aux locaux du client ou d’insuffisance dans la préparation de ces locaux, et plus généralement en cas de force majeure ou d’événements échappant à son contrôle.</t>
  </si>
  <si>
    <t>«Le plaisir de recevoir » a valablement souscrit une police d’assurance couvrant les hypothèses ou sa responsabilité civile est engagée. En cas de sinistre, le client accepte de ne pas solliciter le montant maximum d’intervention de la police d’assurance R.C. exploitation.</t>
  </si>
  <si>
    <t>Le client s’engage à assurer, de son côté, l’événement qu’il organise à travers une police d’assurance propre couvrant les risques de responsabilité civile organisateur ainsi que la couverture des frais d’annulation et des dommages causés au matériel qui lui est confié.</t>
  </si>
  <si>
    <t>En ce qui concerne le cas particulier des vols commis durant les événements, «Le plaisir de recevoir » décline toute responsabilité en cas de vol et/ou perte d’effets personnels durant l’événement. Si le vol a été commis dans un vestiaire surveillé par un préposé «Le plaisir de recevoir »  et donnant lieu à la remise d’un jeton, les dispositions légales en matière d’RC dépositaire seront d’application.</t>
  </si>
  <si>
    <t>17. La nullité éventuelle d’une clause des présentes conditions générales n’altère pas la validité des autres dispositions.</t>
  </si>
  <si>
    <t>18. La présente convention est soumise au droit belge et toute contestation y relative sera de la compétence exclusive des tribunaux de l’arrondissement de Seneffe.</t>
  </si>
  <si>
    <t>Les conditions générale de ventes sont reprisent</t>
  </si>
  <si>
    <t>dans l'onglet "conditions générale"</t>
  </si>
  <si>
    <t>Le plaisir de recevoir</t>
  </si>
  <si>
    <t xml:space="preserve">Le Client </t>
  </si>
  <si>
    <t>Signature précédée de "Lu et approuvé"</t>
  </si>
  <si>
    <t>Glaces:</t>
  </si>
  <si>
    <t>Vanille</t>
  </si>
  <si>
    <t>Straciatella</t>
  </si>
  <si>
    <t>Chocolat noir </t>
  </si>
  <si>
    <t>Caramel beurre salé</t>
  </si>
  <si>
    <t>Moka</t>
  </si>
  <si>
    <t>Speculoos</t>
  </si>
  <si>
    <t>Praliné </t>
  </si>
  <si>
    <t>Cookies</t>
  </si>
  <si>
    <t>Nougat</t>
  </si>
  <si>
    <t>Sorbets:</t>
  </si>
  <si>
    <t>Framboise</t>
  </si>
  <si>
    <t>Passion</t>
  </si>
  <si>
    <t>Pêche de vigne </t>
  </si>
  <si>
    <t>Pascal et Valérie</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</si>
</sst>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0&quot; €&quot;"/>
    <numFmt numFmtId="183" formatCode="d/mm/yyyy;@"/>
    <numFmt numFmtId="184" formatCode="h&quot; h &quot;mm;@"/>
    <numFmt numFmtId="185" formatCode="0.000"/>
    <numFmt numFmtId="186" formatCode="#,##0.00\ &quot;€&quot;"/>
    <numFmt numFmtId="187" formatCode="[$-80C]dddd\ d\ mmmm\ yyyy"/>
    <numFmt numFmtId="188" formatCode="\ "/>
    <numFmt numFmtId="189" formatCode="&quot;Vrai&quot;;&quot;Vrai&quot;;&quot;Faux&quot;"/>
    <numFmt numFmtId="190" formatCode="&quot;Actif&quot;;&quot;Actif&quot;;&quot;Inactif&quot;"/>
    <numFmt numFmtId="191" formatCode="[$€-2]\ #,##0.00_);[Red]\([$€-2]\ #,##0.00\)"/>
  </numFmts>
  <fonts count="74">
    <font>
      <sz val="10"/>
      <name val="Arial"/>
      <family val="2"/>
    </font>
    <font>
      <b/>
      <i/>
      <u val="single"/>
      <sz val="14"/>
      <name val="Arial"/>
      <family val="2"/>
    </font>
    <font>
      <sz val="8"/>
      <name val="Arial"/>
      <family val="2"/>
    </font>
    <font>
      <b/>
      <i/>
      <u val="single"/>
      <sz val="10"/>
      <name val="Arial"/>
      <family val="2"/>
    </font>
    <font>
      <u val="single"/>
      <sz val="10"/>
      <name val="Arial"/>
      <family val="2"/>
    </font>
    <font>
      <b/>
      <i/>
      <sz val="10"/>
      <name val="Arial"/>
      <family val="2"/>
    </font>
    <font>
      <b/>
      <i/>
      <sz val="14"/>
      <name val="Arial"/>
      <family val="2"/>
    </font>
    <font>
      <i/>
      <u val="single"/>
      <sz val="26"/>
      <name val="Times New Roman"/>
      <family val="1"/>
    </font>
    <font>
      <u val="single"/>
      <sz val="10"/>
      <color indexed="12"/>
      <name val="Arial"/>
      <family val="2"/>
    </font>
    <font>
      <b/>
      <i/>
      <u val="single"/>
      <sz val="16"/>
      <name val="Arial"/>
      <family val="2"/>
    </font>
    <font>
      <i/>
      <u val="single"/>
      <sz val="14"/>
      <name val="Arial"/>
      <family val="2"/>
    </font>
    <font>
      <i/>
      <u val="single"/>
      <sz val="10"/>
      <name val="Arial"/>
      <family val="2"/>
    </font>
    <font>
      <b/>
      <i/>
      <u val="single"/>
      <sz val="20"/>
      <name val="Arial"/>
      <family val="2"/>
    </font>
    <font>
      <i/>
      <u val="single"/>
      <sz val="12"/>
      <name val="Arial"/>
      <family val="2"/>
    </font>
    <font>
      <sz val="10"/>
      <name val="Times New Roman"/>
      <family val="1"/>
    </font>
    <font>
      <i/>
      <sz val="10"/>
      <name val="Times New Roman"/>
      <family val="1"/>
    </font>
    <font>
      <i/>
      <u val="single"/>
      <sz val="20"/>
      <name val="Arial"/>
      <family val="2"/>
    </font>
    <font>
      <sz val="12"/>
      <name val="Times New Roman"/>
      <family val="1"/>
    </font>
    <font>
      <sz val="12"/>
      <name val="Arial"/>
      <family val="2"/>
    </font>
    <font>
      <i/>
      <sz val="10"/>
      <name val="Arial"/>
      <family val="2"/>
    </font>
    <font>
      <sz val="10"/>
      <name val="Arial  "/>
      <family val="0"/>
    </font>
    <font>
      <sz val="10"/>
      <color indexed="8"/>
      <name val="Arial"/>
      <family val="2"/>
    </font>
    <font>
      <b/>
      <sz val="10"/>
      <name val="Arial"/>
      <family val="2"/>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8"/>
      <name val="Arial"/>
      <family val="2"/>
    </font>
    <font>
      <b/>
      <u val="single"/>
      <sz val="10"/>
      <color indexed="8"/>
      <name val="Arial"/>
      <family val="2"/>
    </font>
    <font>
      <sz val="12"/>
      <color indexed="63"/>
      <name val="Georgia"/>
      <family val="1"/>
    </font>
    <font>
      <sz val="18"/>
      <color indexed="63"/>
      <name val="Open Sans"/>
      <family val="2"/>
    </font>
    <font>
      <b/>
      <sz val="13.5"/>
      <color indexed="63"/>
      <name val="Open Sans"/>
      <family val="2"/>
    </font>
    <font>
      <sz val="11.5"/>
      <color indexed="63"/>
      <name val="Open Sans"/>
      <family val="2"/>
    </font>
    <font>
      <sz val="12"/>
      <color indexed="6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u val="single"/>
      <sz val="10"/>
      <color theme="1"/>
      <name val="Arial"/>
      <family val="2"/>
    </font>
    <font>
      <sz val="12"/>
      <color rgb="FF222222"/>
      <name val="Georgia"/>
      <family val="1"/>
    </font>
    <font>
      <sz val="18"/>
      <color rgb="FF3F3F3F"/>
      <name val="Open Sans"/>
      <family val="2"/>
    </font>
    <font>
      <b/>
      <sz val="13.5"/>
      <color rgb="FF3F3F3F"/>
      <name val="Open Sans"/>
      <family val="2"/>
    </font>
    <font>
      <sz val="11.5"/>
      <color rgb="FF222222"/>
      <name val="Open Sans"/>
      <family val="2"/>
    </font>
    <font>
      <sz val="12"/>
      <color rgb="FF222222"/>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rgb="FFFF33CC"/>
        <bgColor indexed="64"/>
      </patternFill>
    </fill>
    <fill>
      <patternFill patternType="solid">
        <fgColor rgb="FF92D050"/>
        <bgColor indexed="64"/>
      </patternFill>
    </fill>
    <fill>
      <patternFill patternType="solid">
        <fgColor theme="3" tint="0.5999900102615356"/>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medium">
        <color indexed="8"/>
      </left>
      <right style="medium">
        <color indexed="8"/>
      </right>
      <top style="double">
        <color indexed="8"/>
      </top>
      <bottom>
        <color indexed="63"/>
      </bottom>
    </border>
    <border>
      <left style="double">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medium">
        <color indexed="8"/>
      </left>
      <right style="medium">
        <color indexed="8"/>
      </right>
      <top>
        <color indexed="63"/>
      </top>
      <bottom style="double">
        <color indexed="8"/>
      </bottom>
    </border>
    <border>
      <left>
        <color indexed="63"/>
      </left>
      <right style="double">
        <color indexed="8"/>
      </right>
      <top>
        <color indexed="63"/>
      </top>
      <bottom style="double">
        <color indexed="8"/>
      </bottom>
    </border>
    <border>
      <left>
        <color indexed="63"/>
      </left>
      <right style="double">
        <color indexed="8"/>
      </right>
      <top style="double">
        <color indexed="8"/>
      </top>
      <bottom>
        <color indexed="63"/>
      </bottom>
    </border>
    <border>
      <left style="double">
        <color indexed="14"/>
      </left>
      <right>
        <color indexed="63"/>
      </right>
      <top style="double">
        <color indexed="14"/>
      </top>
      <bottom>
        <color indexed="63"/>
      </bottom>
    </border>
    <border>
      <left>
        <color indexed="63"/>
      </left>
      <right>
        <color indexed="63"/>
      </right>
      <top style="double">
        <color indexed="14"/>
      </top>
      <bottom>
        <color indexed="63"/>
      </bottom>
    </border>
    <border>
      <left style="double">
        <color indexed="14"/>
      </left>
      <right>
        <color indexed="63"/>
      </right>
      <top>
        <color indexed="63"/>
      </top>
      <bottom>
        <color indexed="63"/>
      </bottom>
    </border>
    <border>
      <left style="double">
        <color indexed="14"/>
      </left>
      <right>
        <color indexed="63"/>
      </right>
      <top>
        <color indexed="63"/>
      </top>
      <bottom style="double">
        <color indexed="14"/>
      </bottom>
    </border>
    <border>
      <left>
        <color indexed="63"/>
      </left>
      <right>
        <color indexed="63"/>
      </right>
      <top>
        <color indexed="63"/>
      </top>
      <bottom style="double">
        <color indexed="14"/>
      </bottom>
    </border>
    <border>
      <left>
        <color indexed="63"/>
      </left>
      <right style="double">
        <color indexed="14"/>
      </right>
      <top style="double">
        <color indexed="14"/>
      </top>
      <bottom>
        <color indexed="63"/>
      </bottom>
    </border>
    <border>
      <left>
        <color indexed="63"/>
      </left>
      <right style="double">
        <color indexed="14"/>
      </right>
      <top>
        <color indexed="63"/>
      </top>
      <bottom style="double">
        <color indexed="14"/>
      </bottom>
    </border>
    <border>
      <left>
        <color indexed="63"/>
      </left>
      <right style="thick">
        <color indexed="8"/>
      </right>
      <top>
        <color indexed="63"/>
      </top>
      <bottom>
        <color indexed="63"/>
      </bottom>
    </border>
    <border>
      <left style="medium">
        <color indexed="8"/>
      </left>
      <right style="medium">
        <color indexed="8"/>
      </right>
      <top style="medium">
        <color indexed="8"/>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43">
    <xf numFmtId="0" fontId="0" fillId="0" borderId="0" xfId="0" applyAlignment="1">
      <alignment/>
    </xf>
    <xf numFmtId="0" fontId="1" fillId="0" borderId="0" xfId="0" applyFont="1" applyAlignment="1">
      <alignment/>
    </xf>
    <xf numFmtId="182" fontId="2" fillId="0" borderId="0" xfId="0" applyNumberFormat="1" applyFont="1" applyAlignment="1">
      <alignment/>
    </xf>
    <xf numFmtId="0" fontId="3" fillId="0" borderId="10" xfId="0" applyFont="1" applyBorder="1" applyAlignment="1">
      <alignment/>
    </xf>
    <xf numFmtId="0" fontId="0" fillId="0" borderId="11" xfId="0" applyBorder="1" applyAlignment="1">
      <alignment/>
    </xf>
    <xf numFmtId="0" fontId="4" fillId="0" borderId="12" xfId="0" applyFont="1" applyBorder="1" applyAlignment="1">
      <alignment horizontal="center"/>
    </xf>
    <xf numFmtId="0" fontId="0" fillId="0" borderId="13" xfId="0" applyBorder="1" applyAlignment="1">
      <alignment/>
    </xf>
    <xf numFmtId="0" fontId="0" fillId="0" borderId="0" xfId="0" applyFont="1" applyBorder="1" applyAlignment="1">
      <alignment/>
    </xf>
    <xf numFmtId="0" fontId="0" fillId="33" borderId="14"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0" borderId="16" xfId="0" applyBorder="1" applyAlignment="1">
      <alignment/>
    </xf>
    <xf numFmtId="0" fontId="0" fillId="0" borderId="17" xfId="0" applyFont="1" applyBorder="1" applyAlignment="1">
      <alignment/>
    </xf>
    <xf numFmtId="0" fontId="0" fillId="33" borderId="18"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0" borderId="0" xfId="0" applyFill="1" applyBorder="1" applyAlignment="1" applyProtection="1">
      <alignment horizontal="center"/>
      <protection/>
    </xf>
    <xf numFmtId="0" fontId="0" fillId="0" borderId="0" xfId="0" applyAlignment="1" applyProtection="1">
      <alignment/>
      <protection/>
    </xf>
    <xf numFmtId="0" fontId="3" fillId="0" borderId="10" xfId="0" applyFont="1" applyBorder="1" applyAlignment="1">
      <alignment/>
    </xf>
    <xf numFmtId="0" fontId="0" fillId="0" borderId="20" xfId="0" applyBorder="1" applyAlignment="1">
      <alignment/>
    </xf>
    <xf numFmtId="0" fontId="5" fillId="0" borderId="0" xfId="0" applyFont="1" applyAlignment="1">
      <alignment/>
    </xf>
    <xf numFmtId="20" fontId="0" fillId="33" borderId="15" xfId="0" applyNumberFormat="1" applyFill="1" applyBorder="1" applyAlignment="1" applyProtection="1">
      <alignment/>
      <protection locked="0"/>
    </xf>
    <xf numFmtId="0" fontId="0" fillId="34" borderId="0" xfId="0" applyFont="1" applyFill="1" applyAlignment="1">
      <alignment horizontal="center"/>
    </xf>
    <xf numFmtId="0" fontId="5" fillId="0" borderId="0" xfId="0" applyFont="1" applyBorder="1" applyAlignment="1">
      <alignment/>
    </xf>
    <xf numFmtId="20" fontId="0" fillId="0" borderId="15" xfId="0" applyNumberFormat="1" applyBorder="1" applyAlignment="1">
      <alignment/>
    </xf>
    <xf numFmtId="20" fontId="0" fillId="0" borderId="0" xfId="0" applyNumberFormat="1" applyAlignment="1">
      <alignment/>
    </xf>
    <xf numFmtId="20" fontId="0" fillId="33" borderId="19" xfId="0" applyNumberFormat="1" applyFill="1" applyBorder="1" applyAlignment="1" applyProtection="1">
      <alignment/>
      <protection locked="0"/>
    </xf>
    <xf numFmtId="0" fontId="3" fillId="0" borderId="0" xfId="0" applyFont="1" applyAlignment="1">
      <alignment/>
    </xf>
    <xf numFmtId="0" fontId="0" fillId="35" borderId="0" xfId="0" applyFont="1" applyFill="1" applyAlignment="1">
      <alignment/>
    </xf>
    <xf numFmtId="0" fontId="0" fillId="0" borderId="0" xfId="0" applyFill="1" applyAlignment="1">
      <alignment/>
    </xf>
    <xf numFmtId="0" fontId="0" fillId="33" borderId="0" xfId="0" applyFill="1" applyAlignment="1" applyProtection="1">
      <alignment horizontal="center"/>
      <protection locked="0"/>
    </xf>
    <xf numFmtId="0" fontId="3" fillId="0" borderId="0" xfId="0" applyFont="1" applyFill="1" applyAlignment="1">
      <alignment horizontal="left"/>
    </xf>
    <xf numFmtId="0" fontId="0" fillId="34" borderId="21" xfId="0" applyFont="1" applyFill="1" applyBorder="1" applyAlignment="1">
      <alignment/>
    </xf>
    <xf numFmtId="0" fontId="0" fillId="34" borderId="22" xfId="0" applyFill="1" applyBorder="1" applyAlignment="1">
      <alignment/>
    </xf>
    <xf numFmtId="0" fontId="0" fillId="0" borderId="23" xfId="0" applyFill="1" applyBorder="1" applyAlignment="1">
      <alignment/>
    </xf>
    <xf numFmtId="0" fontId="0" fillId="34" borderId="24" xfId="0" applyFont="1"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0" borderId="0" xfId="0" applyAlignment="1">
      <alignment horizontal="center"/>
    </xf>
    <xf numFmtId="182" fontId="0" fillId="0" borderId="0" xfId="0" applyNumberFormat="1" applyAlignment="1">
      <alignment/>
    </xf>
    <xf numFmtId="182" fontId="6" fillId="0" borderId="0" xfId="0" applyNumberFormat="1" applyFont="1" applyAlignment="1">
      <alignment/>
    </xf>
    <xf numFmtId="0" fontId="7" fillId="0" borderId="0" xfId="0" applyFont="1" applyAlignment="1">
      <alignment/>
    </xf>
    <xf numFmtId="184" fontId="0" fillId="0" borderId="0" xfId="0" applyNumberFormat="1" applyAlignment="1">
      <alignment/>
    </xf>
    <xf numFmtId="182" fontId="9" fillId="0" borderId="0" xfId="0" applyNumberFormat="1" applyFont="1" applyAlignment="1">
      <alignment/>
    </xf>
    <xf numFmtId="182" fontId="10" fillId="0" borderId="0" xfId="0" applyNumberFormat="1" applyFont="1" applyAlignment="1">
      <alignment/>
    </xf>
    <xf numFmtId="0" fontId="0" fillId="0" borderId="10" xfId="0" applyBorder="1" applyAlignment="1">
      <alignment/>
    </xf>
    <xf numFmtId="182" fontId="4" fillId="0" borderId="11" xfId="0" applyNumberFormat="1" applyFont="1" applyBorder="1" applyAlignment="1">
      <alignment horizontal="center"/>
    </xf>
    <xf numFmtId="182" fontId="4" fillId="0" borderId="20" xfId="0" applyNumberFormat="1" applyFont="1" applyBorder="1" applyAlignment="1">
      <alignment horizontal="center"/>
    </xf>
    <xf numFmtId="1" fontId="0" fillId="0" borderId="0" xfId="0" applyNumberFormat="1" applyFont="1" applyBorder="1" applyAlignment="1">
      <alignment horizontal="center"/>
    </xf>
    <xf numFmtId="1" fontId="0" fillId="0" borderId="15" xfId="0" applyNumberFormat="1" applyFont="1" applyBorder="1" applyAlignment="1">
      <alignment horizontal="center"/>
    </xf>
    <xf numFmtId="3" fontId="0" fillId="0" borderId="0" xfId="0" applyNumberFormat="1" applyBorder="1" applyAlignment="1">
      <alignment horizontal="center"/>
    </xf>
    <xf numFmtId="0" fontId="0" fillId="0" borderId="15" xfId="0" applyNumberFormat="1" applyFont="1" applyBorder="1" applyAlignment="1">
      <alignment horizontal="center"/>
    </xf>
    <xf numFmtId="1" fontId="0" fillId="0" borderId="17" xfId="0" applyNumberFormat="1" applyFont="1" applyBorder="1" applyAlignment="1">
      <alignment horizontal="center"/>
    </xf>
    <xf numFmtId="0" fontId="0" fillId="0" borderId="17" xfId="0" applyNumberFormat="1" applyBorder="1" applyAlignment="1">
      <alignment horizontal="center"/>
    </xf>
    <xf numFmtId="0" fontId="0" fillId="0" borderId="19" xfId="0" applyNumberFormat="1" applyFont="1" applyBorder="1" applyAlignment="1">
      <alignment horizontal="center"/>
    </xf>
    <xf numFmtId="0" fontId="11" fillId="0" borderId="0" xfId="0" applyFont="1" applyAlignment="1">
      <alignment/>
    </xf>
    <xf numFmtId="0" fontId="10" fillId="0" borderId="0" xfId="0" applyFont="1" applyAlignment="1">
      <alignment/>
    </xf>
    <xf numFmtId="0" fontId="0" fillId="33" borderId="0" xfId="0" applyFont="1" applyFill="1" applyAlignment="1">
      <alignment/>
    </xf>
    <xf numFmtId="0" fontId="10" fillId="0" borderId="0" xfId="0" applyFont="1" applyFill="1" applyAlignment="1">
      <alignment/>
    </xf>
    <xf numFmtId="0" fontId="0" fillId="33" borderId="0" xfId="0" applyFill="1" applyAlignment="1">
      <alignment/>
    </xf>
    <xf numFmtId="0" fontId="12" fillId="0" borderId="0" xfId="0" applyFont="1" applyAlignment="1">
      <alignment/>
    </xf>
    <xf numFmtId="0" fontId="13" fillId="0" borderId="0" xfId="0" applyFont="1" applyAlignment="1">
      <alignment/>
    </xf>
    <xf numFmtId="0" fontId="14" fillId="33" borderId="0" xfId="0" applyFont="1" applyFill="1" applyBorder="1" applyAlignment="1">
      <alignment/>
    </xf>
    <xf numFmtId="0" fontId="14" fillId="0" borderId="0" xfId="0" applyFont="1" applyBorder="1" applyAlignment="1">
      <alignment/>
    </xf>
    <xf numFmtId="0" fontId="15" fillId="0" borderId="0" xfId="0" applyFont="1" applyBorder="1" applyAlignment="1">
      <alignment/>
    </xf>
    <xf numFmtId="0" fontId="14" fillId="33" borderId="0" xfId="0" applyFont="1" applyFill="1" applyAlignment="1">
      <alignment/>
    </xf>
    <xf numFmtId="0" fontId="14" fillId="0" borderId="0" xfId="0" applyFont="1" applyAlignment="1">
      <alignment/>
    </xf>
    <xf numFmtId="182" fontId="14" fillId="0" borderId="0" xfId="0" applyNumberFormat="1" applyFont="1" applyBorder="1" applyAlignment="1">
      <alignment/>
    </xf>
    <xf numFmtId="0" fontId="14" fillId="0" borderId="0" xfId="0" applyFont="1" applyFill="1" applyBorder="1" applyAlignment="1">
      <alignment/>
    </xf>
    <xf numFmtId="182" fontId="5" fillId="0" borderId="0" xfId="0" applyNumberFormat="1" applyFont="1" applyAlignment="1">
      <alignment/>
    </xf>
    <xf numFmtId="1" fontId="0" fillId="35" borderId="0" xfId="0" applyNumberFormat="1" applyFill="1" applyAlignment="1" applyProtection="1">
      <alignment/>
      <protection locked="0"/>
    </xf>
    <xf numFmtId="1" fontId="0" fillId="33" borderId="0" xfId="0" applyNumberFormat="1" applyFill="1" applyAlignment="1" applyProtection="1">
      <alignment/>
      <protection locked="0"/>
    </xf>
    <xf numFmtId="0" fontId="0" fillId="33" borderId="0" xfId="0" applyFill="1" applyAlignment="1" applyProtection="1">
      <alignment/>
      <protection locked="0"/>
    </xf>
    <xf numFmtId="0" fontId="0" fillId="0" borderId="0" xfId="0" applyFill="1" applyAlignment="1" applyProtection="1">
      <alignment/>
      <protection locked="0"/>
    </xf>
    <xf numFmtId="0" fontId="0" fillId="35" borderId="0" xfId="0" applyNumberFormat="1" applyFill="1" applyAlignment="1" applyProtection="1">
      <alignment/>
      <protection locked="0"/>
    </xf>
    <xf numFmtId="0" fontId="13" fillId="0" borderId="0" xfId="0" applyFont="1" applyFill="1" applyAlignment="1">
      <alignment/>
    </xf>
    <xf numFmtId="0" fontId="0" fillId="0" borderId="28" xfId="0" applyFill="1" applyBorder="1" applyAlignment="1">
      <alignment/>
    </xf>
    <xf numFmtId="185" fontId="0" fillId="0" borderId="0" xfId="0" applyNumberFormat="1" applyFont="1" applyAlignment="1">
      <alignment/>
    </xf>
    <xf numFmtId="1" fontId="0" fillId="35" borderId="0" xfId="0" applyNumberFormat="1" applyFill="1" applyAlignment="1">
      <alignment/>
    </xf>
    <xf numFmtId="3" fontId="0" fillId="35" borderId="0" xfId="0" applyNumberFormat="1" applyFill="1" applyAlignment="1">
      <alignment/>
    </xf>
    <xf numFmtId="1" fontId="0" fillId="33" borderId="0" xfId="0" applyNumberFormat="1" applyFont="1" applyFill="1" applyAlignment="1">
      <alignment/>
    </xf>
    <xf numFmtId="1" fontId="0" fillId="33" borderId="0" xfId="0" applyNumberFormat="1" applyFill="1" applyAlignment="1">
      <alignment/>
    </xf>
    <xf numFmtId="0" fontId="3" fillId="0" borderId="0" xfId="0" applyFont="1" applyAlignment="1">
      <alignment horizontal="center"/>
    </xf>
    <xf numFmtId="0" fontId="0" fillId="35" borderId="0" xfId="0" applyNumberFormat="1" applyFill="1" applyAlignment="1">
      <alignment/>
    </xf>
    <xf numFmtId="1" fontId="14" fillId="33" borderId="0" xfId="0" applyNumberFormat="1" applyFont="1" applyFill="1" applyBorder="1" applyAlignment="1">
      <alignment/>
    </xf>
    <xf numFmtId="0" fontId="16" fillId="0" borderId="0" xfId="0" applyFont="1" applyAlignment="1">
      <alignment/>
    </xf>
    <xf numFmtId="0" fontId="0" fillId="0" borderId="0" xfId="0" applyNumberFormat="1" applyAlignment="1">
      <alignment/>
    </xf>
    <xf numFmtId="0" fontId="17" fillId="0" borderId="0" xfId="0" applyFont="1" applyAlignment="1">
      <alignment horizontal="left"/>
    </xf>
    <xf numFmtId="0" fontId="1" fillId="0" borderId="0" xfId="0" applyFont="1" applyFill="1" applyAlignment="1">
      <alignment/>
    </xf>
    <xf numFmtId="0" fontId="0" fillId="36" borderId="0" xfId="0" applyFill="1" applyAlignment="1">
      <alignment/>
    </xf>
    <xf numFmtId="0" fontId="0" fillId="0" borderId="0" xfId="0" applyFont="1" applyFill="1" applyAlignment="1">
      <alignment/>
    </xf>
    <xf numFmtId="0" fontId="8" fillId="36" borderId="0" xfId="44" applyNumberFormat="1" applyFill="1" applyBorder="1" applyAlignment="1" applyProtection="1">
      <alignment/>
      <protection/>
    </xf>
    <xf numFmtId="183" fontId="0" fillId="36" borderId="0" xfId="0" applyNumberFormat="1" applyFill="1" applyAlignment="1">
      <alignment/>
    </xf>
    <xf numFmtId="183" fontId="11" fillId="0" borderId="0" xfId="0" applyNumberFormat="1" applyFont="1" applyAlignment="1">
      <alignment/>
    </xf>
    <xf numFmtId="182" fontId="0" fillId="0" borderId="0" xfId="0" applyNumberFormat="1" applyFill="1" applyAlignment="1">
      <alignment/>
    </xf>
    <xf numFmtId="0" fontId="67" fillId="37" borderId="0" xfId="0" applyFont="1" applyFill="1" applyAlignment="1">
      <alignment/>
    </xf>
    <xf numFmtId="0" fontId="68" fillId="37" borderId="0" xfId="44" applyFont="1" applyFill="1" applyAlignment="1">
      <alignment/>
    </xf>
    <xf numFmtId="182" fontId="18" fillId="0" borderId="0" xfId="0" applyNumberFormat="1" applyFont="1" applyAlignment="1">
      <alignment/>
    </xf>
    <xf numFmtId="0" fontId="0" fillId="0" borderId="0" xfId="0" applyFont="1" applyAlignment="1">
      <alignment/>
    </xf>
    <xf numFmtId="0" fontId="19" fillId="0" borderId="0" xfId="0" applyFont="1" applyBorder="1" applyAlignment="1">
      <alignment/>
    </xf>
    <xf numFmtId="182" fontId="0" fillId="0" borderId="0" xfId="0" applyNumberFormat="1" applyFont="1" applyBorder="1" applyAlignment="1">
      <alignment/>
    </xf>
    <xf numFmtId="182" fontId="0"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20" fillId="0" borderId="0" xfId="0" applyFont="1" applyAlignment="1">
      <alignment horizontal="left" indent="1"/>
    </xf>
    <xf numFmtId="0" fontId="21" fillId="0" borderId="0" xfId="0" applyFont="1" applyAlignment="1">
      <alignment/>
    </xf>
    <xf numFmtId="0" fontId="0" fillId="10" borderId="0" xfId="0" applyFill="1" applyAlignment="1">
      <alignment/>
    </xf>
    <xf numFmtId="0" fontId="0" fillId="38" borderId="29" xfId="0" applyFill="1" applyBorder="1" applyAlignment="1">
      <alignment/>
    </xf>
    <xf numFmtId="0" fontId="4" fillId="38" borderId="12" xfId="0" applyFont="1" applyFill="1" applyBorder="1" applyAlignment="1">
      <alignment horizontal="center"/>
    </xf>
    <xf numFmtId="0" fontId="4" fillId="10" borderId="20" xfId="0" applyFont="1" applyFill="1" applyBorder="1" applyAlignment="1">
      <alignment horizontal="center"/>
    </xf>
    <xf numFmtId="0" fontId="0" fillId="9" borderId="0" xfId="0" applyFill="1" applyAlignment="1">
      <alignment/>
    </xf>
    <xf numFmtId="182" fontId="1" fillId="0" borderId="0" xfId="0" applyNumberFormat="1" applyFont="1" applyAlignment="1">
      <alignment/>
    </xf>
    <xf numFmtId="8" fontId="0" fillId="0" borderId="0" xfId="0" applyNumberFormat="1" applyAlignment="1">
      <alignment/>
    </xf>
    <xf numFmtId="46" fontId="0" fillId="33" borderId="15" xfId="0" applyNumberFormat="1" applyFill="1" applyBorder="1" applyAlignment="1" applyProtection="1">
      <alignment/>
      <protection locked="0"/>
    </xf>
    <xf numFmtId="0" fontId="22" fillId="39" borderId="0" xfId="0" applyFont="1" applyFill="1" applyAlignment="1">
      <alignment/>
    </xf>
    <xf numFmtId="0" fontId="0" fillId="39" borderId="0" xfId="0" applyFill="1" applyAlignment="1">
      <alignment/>
    </xf>
    <xf numFmtId="0" fontId="0" fillId="0" borderId="0" xfId="0" applyFont="1" applyAlignment="1">
      <alignment vertical="center"/>
    </xf>
    <xf numFmtId="0" fontId="0" fillId="0" borderId="0" xfId="0" applyFont="1" applyAlignment="1">
      <alignment vertical="center"/>
    </xf>
    <xf numFmtId="0" fontId="23" fillId="0" borderId="0" xfId="0" applyFont="1" applyAlignment="1">
      <alignment vertical="center" wrapText="1"/>
    </xf>
    <xf numFmtId="0" fontId="69" fillId="0" borderId="0" xfId="0" applyFont="1" applyAlignment="1">
      <alignment/>
    </xf>
    <xf numFmtId="0" fontId="8" fillId="0" borderId="0" xfId="44" applyAlignment="1">
      <alignment/>
    </xf>
    <xf numFmtId="14" fontId="6" fillId="0" borderId="0" xfId="0" applyNumberFormat="1" applyFont="1" applyAlignment="1">
      <alignment/>
    </xf>
    <xf numFmtId="1" fontId="0" fillId="0" borderId="0" xfId="0" applyNumberFormat="1" applyAlignment="1" applyProtection="1">
      <alignment/>
      <protection locked="0"/>
    </xf>
    <xf numFmtId="0" fontId="0" fillId="38" borderId="0" xfId="0" applyFill="1" applyAlignment="1">
      <alignment/>
    </xf>
    <xf numFmtId="14" fontId="0" fillId="38" borderId="0" xfId="0" applyNumberFormat="1" applyFill="1" applyAlignment="1">
      <alignment/>
    </xf>
    <xf numFmtId="182" fontId="4" fillId="0" borderId="0" xfId="0" applyNumberFormat="1" applyFont="1" applyFill="1" applyBorder="1" applyAlignment="1">
      <alignment horizontal="center"/>
    </xf>
    <xf numFmtId="182" fontId="3" fillId="40" borderId="0" xfId="0" applyNumberFormat="1" applyFont="1" applyFill="1" applyAlignment="1">
      <alignment/>
    </xf>
    <xf numFmtId="14" fontId="3" fillId="40" borderId="0" xfId="0" applyNumberFormat="1" applyFont="1" applyFill="1" applyAlignment="1">
      <alignment/>
    </xf>
    <xf numFmtId="182" fontId="0" fillId="40" borderId="0" xfId="0" applyNumberFormat="1" applyFill="1" applyAlignment="1">
      <alignment/>
    </xf>
    <xf numFmtId="182" fontId="1" fillId="0" borderId="0" xfId="0" applyNumberFormat="1" applyFont="1" applyAlignment="1">
      <alignment horizontal="center"/>
    </xf>
    <xf numFmtId="4" fontId="0" fillId="0" borderId="0" xfId="0" applyNumberFormat="1" applyFont="1" applyAlignment="1">
      <alignment/>
    </xf>
    <xf numFmtId="183" fontId="0" fillId="38" borderId="0" xfId="0" applyNumberFormat="1" applyFill="1" applyAlignment="1">
      <alignment/>
    </xf>
    <xf numFmtId="0" fontId="0" fillId="41" borderId="0" xfId="0" applyFill="1" applyAlignment="1">
      <alignment/>
    </xf>
    <xf numFmtId="0" fontId="22" fillId="0" borderId="0" xfId="0" applyFont="1" applyAlignment="1">
      <alignment/>
    </xf>
    <xf numFmtId="0" fontId="70" fillId="0" borderId="0" xfId="0" applyFont="1" applyAlignment="1">
      <alignment horizontal="left" vertical="center"/>
    </xf>
    <xf numFmtId="0" fontId="71" fillId="0" borderId="0" xfId="0" applyFont="1" applyAlignment="1">
      <alignment vertical="center"/>
    </xf>
    <xf numFmtId="0" fontId="72" fillId="0" borderId="0" xfId="0" applyFont="1" applyAlignment="1">
      <alignment vertical="center"/>
    </xf>
    <xf numFmtId="0" fontId="72" fillId="4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73" fillId="0" borderId="0" xfId="0" applyFont="1" applyAlignment="1">
      <alignment vertical="center" wrapText="1"/>
    </xf>
    <xf numFmtId="0" fontId="73" fillId="38" borderId="0" xfId="0" applyFont="1" applyFill="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beaumariag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97"/>
  <sheetViews>
    <sheetView showGridLines="0" showZeros="0" tabSelected="1" zoomScalePageLayoutView="0" workbookViewId="0" topLeftCell="A1">
      <pane ySplit="1" topLeftCell="A2" activePane="bottomLeft" state="frozen"/>
      <selection pane="topLeft" activeCell="A1" sqref="A1"/>
      <selection pane="bottomLeft" activeCell="D8" sqref="D8"/>
    </sheetView>
  </sheetViews>
  <sheetFormatPr defaultColWidth="11.421875" defaultRowHeight="12.75"/>
  <cols>
    <col min="1" max="1" width="6.7109375" style="0" customWidth="1"/>
    <col min="2" max="2" width="13.421875" style="0" customWidth="1"/>
    <col min="4" max="4" width="14.28125" style="0" bestFit="1" customWidth="1"/>
    <col min="5" max="5" width="18.28125" style="0" customWidth="1"/>
    <col min="6" max="6" width="17.140625" style="0" customWidth="1"/>
    <col min="9" max="9" width="12.28125" style="0" customWidth="1"/>
    <col min="12" max="12" width="16.7109375" style="0" customWidth="1"/>
  </cols>
  <sheetData>
    <row r="1" spans="1:12" ht="18.75">
      <c r="A1" s="1" t="s">
        <v>216</v>
      </c>
      <c r="L1" s="2">
        <f>'Page de garde'!G10</f>
        <v>0</v>
      </c>
    </row>
    <row r="4" ht="12.75">
      <c r="A4">
        <f>Information!D9</f>
        <v>0</v>
      </c>
    </row>
    <row r="5" ht="13.5" thickBot="1"/>
    <row r="6" spans="5:12" ht="13.5" thickBot="1">
      <c r="E6" s="107" t="s">
        <v>446</v>
      </c>
      <c r="F6" s="106" t="s">
        <v>445</v>
      </c>
      <c r="G6" s="106"/>
      <c r="H6" s="106"/>
      <c r="J6" s="94" t="s">
        <v>203</v>
      </c>
      <c r="K6" s="94"/>
      <c r="L6" s="94"/>
    </row>
    <row r="7" spans="1:22" ht="13.5" thickTop="1">
      <c r="A7" s="3" t="s">
        <v>0</v>
      </c>
      <c r="B7" s="4"/>
      <c r="C7" s="4"/>
      <c r="D7" s="5" t="s">
        <v>217</v>
      </c>
      <c r="E7" s="108" t="s">
        <v>443</v>
      </c>
      <c r="F7" s="109" t="s">
        <v>444</v>
      </c>
      <c r="J7" s="94"/>
      <c r="K7" s="94"/>
      <c r="L7" s="94"/>
      <c r="V7">
        <v>1</v>
      </c>
    </row>
    <row r="8" spans="1:12" ht="12.75">
      <c r="A8" s="6"/>
      <c r="B8" s="7" t="s">
        <v>1</v>
      </c>
      <c r="C8" s="7"/>
      <c r="D8" s="8"/>
      <c r="E8" s="8"/>
      <c r="F8" s="9"/>
      <c r="J8" s="95" t="s">
        <v>204</v>
      </c>
      <c r="K8" s="94"/>
      <c r="L8" s="94"/>
    </row>
    <row r="9" spans="1:12" ht="12.75">
      <c r="A9" s="6"/>
      <c r="B9" s="7" t="s">
        <v>2</v>
      </c>
      <c r="C9" s="7"/>
      <c r="D9" s="8"/>
      <c r="E9" s="8"/>
      <c r="F9" s="9"/>
      <c r="J9" s="94"/>
      <c r="K9" s="94"/>
      <c r="L9" s="94"/>
    </row>
    <row r="10" spans="1:12" ht="12.75">
      <c r="A10" s="6"/>
      <c r="B10" s="7" t="s">
        <v>3</v>
      </c>
      <c r="C10" s="7"/>
      <c r="D10" s="8"/>
      <c r="E10" s="8"/>
      <c r="F10" s="9"/>
      <c r="J10" s="114"/>
      <c r="K10" s="114"/>
      <c r="L10" s="114"/>
    </row>
    <row r="11" spans="1:12" ht="13.5" thickBot="1">
      <c r="A11" s="10"/>
      <c r="B11" s="11" t="s">
        <v>4</v>
      </c>
      <c r="C11" s="11"/>
      <c r="D11" s="12"/>
      <c r="E11" s="12"/>
      <c r="F11" s="13"/>
      <c r="J11" s="114" t="s">
        <v>460</v>
      </c>
      <c r="K11" s="114"/>
      <c r="L11" s="114"/>
    </row>
    <row r="12" spans="1:12" ht="13.5" thickTop="1">
      <c r="A12" s="7"/>
      <c r="B12" s="7"/>
      <c r="C12" s="7"/>
      <c r="D12" s="14"/>
      <c r="E12" s="14"/>
      <c r="F12" s="14"/>
      <c r="J12" s="114" t="s">
        <v>461</v>
      </c>
      <c r="K12" s="114"/>
      <c r="L12" s="114"/>
    </row>
    <row r="13" spans="1:12" ht="12.75">
      <c r="A13" s="7"/>
      <c r="B13" s="7"/>
      <c r="C13" s="7"/>
      <c r="D13" s="14"/>
      <c r="E13" s="14"/>
      <c r="F13" s="14"/>
      <c r="J13" s="114"/>
      <c r="K13" s="114"/>
      <c r="L13" s="114"/>
    </row>
    <row r="14" spans="1:12" ht="12.75">
      <c r="A14" s="7"/>
      <c r="B14" s="7"/>
      <c r="C14" s="7"/>
      <c r="D14" s="14"/>
      <c r="E14" s="14"/>
      <c r="F14" s="14"/>
      <c r="J14" s="114"/>
      <c r="K14" s="115"/>
      <c r="L14" s="115"/>
    </row>
    <row r="15" spans="1:12" ht="12.75">
      <c r="A15" s="7"/>
      <c r="B15" s="7"/>
      <c r="C15" s="7"/>
      <c r="D15" s="14"/>
      <c r="E15" s="14"/>
      <c r="F15" s="14"/>
      <c r="J15" s="114"/>
      <c r="K15" s="115"/>
      <c r="L15" s="115"/>
    </row>
    <row r="16" spans="4:6" ht="13.5" thickBot="1">
      <c r="D16" s="15"/>
      <c r="E16" s="15"/>
      <c r="F16" s="15"/>
    </row>
    <row r="17" spans="1:5" ht="13.5" thickTop="1">
      <c r="A17" s="16" t="s">
        <v>5</v>
      </c>
      <c r="B17" s="4"/>
      <c r="C17" s="4"/>
      <c r="D17" s="17"/>
      <c r="E17" s="18" t="s">
        <v>6</v>
      </c>
    </row>
    <row r="18" spans="1:5" ht="12.75">
      <c r="A18" s="6"/>
      <c r="B18" s="7" t="s">
        <v>7</v>
      </c>
      <c r="C18" s="7"/>
      <c r="D18" s="19">
        <v>0.6458333333333334</v>
      </c>
      <c r="E18" s="20" t="s">
        <v>8</v>
      </c>
    </row>
    <row r="19" spans="1:5" ht="12.75">
      <c r="A19" s="6"/>
      <c r="B19" s="7" t="s">
        <v>9</v>
      </c>
      <c r="C19" s="7"/>
      <c r="D19" s="113">
        <v>1.1666666666666667</v>
      </c>
      <c r="E19" s="20" t="s">
        <v>8</v>
      </c>
    </row>
    <row r="20" spans="1:6" ht="12.75">
      <c r="A20" s="6"/>
      <c r="B20" s="7"/>
      <c r="C20" s="21" t="s">
        <v>384</v>
      </c>
      <c r="D20" s="22"/>
      <c r="E20" s="23">
        <f>D19-D18</f>
        <v>0.5208333333333334</v>
      </c>
      <c r="F20" t="s">
        <v>10</v>
      </c>
    </row>
    <row r="21" spans="1:4" ht="12.75">
      <c r="A21" s="6"/>
      <c r="B21" s="7"/>
      <c r="C21" s="7"/>
      <c r="D21" s="22"/>
    </row>
    <row r="22" spans="1:6" ht="13.5" thickBot="1">
      <c r="A22" s="10"/>
      <c r="B22" s="11" t="s">
        <v>11</v>
      </c>
      <c r="C22" s="11"/>
      <c r="D22" s="24">
        <v>0.08333333333333333</v>
      </c>
      <c r="E22" s="122">
        <f>((D22*4)*24)+1</f>
        <v>9</v>
      </c>
      <c r="F22" t="s">
        <v>419</v>
      </c>
    </row>
    <row r="24" spans="1:5" ht="12.75">
      <c r="A24" s="25" t="s">
        <v>218</v>
      </c>
      <c r="E24" s="26" t="s">
        <v>12</v>
      </c>
    </row>
    <row r="25" ht="12.75">
      <c r="B25" s="27"/>
    </row>
    <row r="26" spans="1:2" ht="12.75">
      <c r="A26" s="28"/>
      <c r="B26" t="s">
        <v>13</v>
      </c>
    </row>
    <row r="27" spans="1:2" ht="12.75">
      <c r="A27" s="28"/>
      <c r="B27" t="s">
        <v>64</v>
      </c>
    </row>
    <row r="28" spans="1:2" ht="12.75">
      <c r="A28" s="28"/>
      <c r="B28" t="s">
        <v>66</v>
      </c>
    </row>
    <row r="29" spans="1:2" ht="12.75">
      <c r="A29" s="28"/>
      <c r="B29" t="s">
        <v>67</v>
      </c>
    </row>
    <row r="30" spans="1:3" ht="12.75">
      <c r="A30" s="28"/>
      <c r="B30" t="s">
        <v>219</v>
      </c>
      <c r="C30" t="s">
        <v>222</v>
      </c>
    </row>
    <row r="31" spans="1:3" ht="12.75">
      <c r="A31" s="28"/>
      <c r="B31" t="s">
        <v>220</v>
      </c>
      <c r="C31" t="s">
        <v>424</v>
      </c>
    </row>
    <row r="32" spans="1:3" ht="12.75">
      <c r="A32" s="28"/>
      <c r="B32" t="s">
        <v>221</v>
      </c>
      <c r="C32" t="s">
        <v>14</v>
      </c>
    </row>
    <row r="35" spans="1:5" ht="12.75">
      <c r="A35" s="29" t="s">
        <v>15</v>
      </c>
      <c r="E35" s="26" t="s">
        <v>12</v>
      </c>
    </row>
    <row r="36" ht="13.5" thickBot="1">
      <c r="B36" s="27"/>
    </row>
    <row r="37" spans="1:8" ht="13.5" thickTop="1">
      <c r="A37" s="28"/>
      <c r="B37" t="s">
        <v>16</v>
      </c>
      <c r="C37" s="30" t="s">
        <v>17</v>
      </c>
      <c r="D37" s="31"/>
      <c r="E37" s="31"/>
      <c r="F37" s="31"/>
      <c r="G37" s="31"/>
      <c r="H37" s="32"/>
    </row>
    <row r="38" spans="1:8" ht="13.5" thickBot="1">
      <c r="A38" s="28"/>
      <c r="B38" t="s">
        <v>223</v>
      </c>
      <c r="C38" s="33" t="s">
        <v>18</v>
      </c>
      <c r="D38" s="34"/>
      <c r="E38" s="34"/>
      <c r="F38" s="34"/>
      <c r="G38" s="34"/>
      <c r="H38" s="32"/>
    </row>
    <row r="39" spans="1:2" ht="13.5" thickTop="1">
      <c r="A39" s="28"/>
      <c r="B39" t="s">
        <v>136</v>
      </c>
    </row>
    <row r="40" spans="1:2" ht="12.75">
      <c r="A40" s="28"/>
      <c r="B40" t="s">
        <v>139</v>
      </c>
    </row>
    <row r="41" spans="1:5" ht="12.75">
      <c r="A41" s="28"/>
      <c r="B41" t="s">
        <v>142</v>
      </c>
      <c r="D41">
        <f>COUNTA(A37:A43)</f>
        <v>0</v>
      </c>
      <c r="E41" t="s">
        <v>19</v>
      </c>
    </row>
    <row r="42" spans="1:2" ht="12.75">
      <c r="A42" s="28"/>
      <c r="B42" t="s">
        <v>149</v>
      </c>
    </row>
    <row r="43" spans="1:2" ht="12.75">
      <c r="A43" s="28"/>
      <c r="B43" t="s">
        <v>150</v>
      </c>
    </row>
    <row r="44" spans="1:2" ht="12.75">
      <c r="A44" s="28"/>
      <c r="B44" t="s">
        <v>152</v>
      </c>
    </row>
    <row r="45" spans="1:2" ht="12.75">
      <c r="A45" s="28"/>
      <c r="B45" t="s">
        <v>299</v>
      </c>
    </row>
    <row r="47" spans="1:5" ht="12.75">
      <c r="A47" s="25" t="s">
        <v>20</v>
      </c>
      <c r="E47" s="26" t="s">
        <v>12</v>
      </c>
    </row>
    <row r="48" ht="12.75">
      <c r="A48" s="27"/>
    </row>
    <row r="49" spans="1:17" ht="12.75">
      <c r="A49" s="28"/>
      <c r="B49" t="s">
        <v>371</v>
      </c>
      <c r="E49" t="str">
        <f>IF(A49="x",10," ")</f>
        <v> </v>
      </c>
      <c r="Q49">
        <f>SUM(E49:E52)</f>
        <v>0</v>
      </c>
    </row>
    <row r="50" spans="1:5" ht="12.75">
      <c r="A50" s="28"/>
      <c r="B50" t="s">
        <v>224</v>
      </c>
      <c r="E50" t="str">
        <f>IF(A50="x",15," ")</f>
        <v> </v>
      </c>
    </row>
    <row r="51" spans="1:5" ht="12.75">
      <c r="A51" s="28"/>
      <c r="B51" t="s">
        <v>225</v>
      </c>
      <c r="E51" t="str">
        <f>IF(A51="x",20," ")</f>
        <v> </v>
      </c>
    </row>
    <row r="52" spans="1:5" ht="12.75">
      <c r="A52" s="28"/>
      <c r="B52" t="s">
        <v>226</v>
      </c>
      <c r="E52" t="str">
        <f>IF(A52="x",25," ")</f>
        <v> </v>
      </c>
    </row>
    <row r="54" spans="1:7" ht="13.5" thickTop="1">
      <c r="A54" s="29" t="s">
        <v>227</v>
      </c>
      <c r="C54" s="30" t="s">
        <v>22</v>
      </c>
      <c r="D54" s="31"/>
      <c r="E54" s="31"/>
      <c r="F54" s="31"/>
      <c r="G54" s="35"/>
    </row>
    <row r="55" spans="1:7" ht="13.5" thickBot="1">
      <c r="A55" s="27"/>
      <c r="C55" s="33" t="s">
        <v>23</v>
      </c>
      <c r="D55" s="34"/>
      <c r="E55" s="34"/>
      <c r="F55" s="34"/>
      <c r="G55" s="36"/>
    </row>
    <row r="56" spans="1:2" ht="13.5" thickTop="1">
      <c r="A56" s="28"/>
      <c r="B56" t="s">
        <v>237</v>
      </c>
    </row>
    <row r="57" spans="1:2" ht="12.75">
      <c r="A57" s="28"/>
      <c r="B57" t="s">
        <v>24</v>
      </c>
    </row>
    <row r="58" spans="1:2" ht="12.75">
      <c r="A58" s="28"/>
      <c r="B58" t="s">
        <v>25</v>
      </c>
    </row>
    <row r="59" spans="1:2" ht="12.75">
      <c r="A59" s="28"/>
      <c r="B59" t="s">
        <v>26</v>
      </c>
    </row>
    <row r="60" spans="1:2" ht="12.75">
      <c r="A60" s="28"/>
      <c r="B60" t="s">
        <v>493</v>
      </c>
    </row>
    <row r="61" spans="1:2" ht="12.75">
      <c r="A61" s="28"/>
      <c r="B61" t="s">
        <v>27</v>
      </c>
    </row>
    <row r="62" spans="1:14" ht="12.75">
      <c r="A62" s="28"/>
      <c r="B62" t="s">
        <v>228</v>
      </c>
      <c r="M62">
        <f>COUNTA(A56:A66)*0.7</f>
        <v>0</v>
      </c>
      <c r="N62" t="s">
        <v>28</v>
      </c>
    </row>
    <row r="63" spans="1:17" ht="12.75">
      <c r="A63" s="28"/>
      <c r="B63" t="s">
        <v>29</v>
      </c>
      <c r="P63">
        <f>SUM(M62:M76)</f>
        <v>0</v>
      </c>
      <c r="Q63" t="s">
        <v>30</v>
      </c>
    </row>
    <row r="64" spans="1:2" ht="12.75">
      <c r="A64" s="28"/>
      <c r="B64" t="s">
        <v>308</v>
      </c>
    </row>
    <row r="65" spans="1:2" ht="12.75">
      <c r="A65" s="28"/>
      <c r="B65" t="s">
        <v>307</v>
      </c>
    </row>
    <row r="66" spans="1:2" ht="12.75">
      <c r="A66" s="28"/>
      <c r="B66" t="s">
        <v>31</v>
      </c>
    </row>
    <row r="67" spans="1:14" ht="12.75">
      <c r="A67" s="28"/>
      <c r="B67" t="s">
        <v>229</v>
      </c>
      <c r="M67">
        <f>IF(A67="x",1,0)</f>
        <v>0</v>
      </c>
      <c r="N67" t="s">
        <v>28</v>
      </c>
    </row>
    <row r="68" spans="1:14" ht="12.75">
      <c r="A68" s="28"/>
      <c r="B68" t="s">
        <v>32</v>
      </c>
      <c r="M68">
        <f>IF(A68="x",1,0)</f>
        <v>0</v>
      </c>
      <c r="N68" t="s">
        <v>28</v>
      </c>
    </row>
    <row r="69" spans="1:14" ht="12.75">
      <c r="A69" s="28"/>
      <c r="B69" t="s">
        <v>230</v>
      </c>
      <c r="M69">
        <f>IF(A69="x",1,0)</f>
        <v>0</v>
      </c>
      <c r="N69" t="s">
        <v>28</v>
      </c>
    </row>
    <row r="70" spans="1:2" ht="12.75">
      <c r="A70" s="28"/>
      <c r="B70" t="s">
        <v>231</v>
      </c>
    </row>
    <row r="71" spans="1:2" ht="12.75">
      <c r="A71" s="28"/>
      <c r="B71" t="s">
        <v>232</v>
      </c>
    </row>
    <row r="73" spans="1:6" ht="12.75">
      <c r="A73" s="29" t="s">
        <v>33</v>
      </c>
      <c r="E73" s="27"/>
      <c r="F73" s="26" t="s">
        <v>12</v>
      </c>
    </row>
    <row r="74" ht="12.75">
      <c r="A74" s="27"/>
    </row>
    <row r="75" spans="1:14" ht="12.75">
      <c r="A75" s="28"/>
      <c r="B75" t="s">
        <v>233</v>
      </c>
      <c r="M75">
        <f>IF(A75="x",1.5,0)</f>
        <v>0</v>
      </c>
      <c r="N75" t="s">
        <v>28</v>
      </c>
    </row>
    <row r="76" spans="1:14" ht="12.75">
      <c r="A76" s="28"/>
      <c r="B76" t="s">
        <v>234</v>
      </c>
      <c r="M76">
        <f>IF(A76="x",2,0)</f>
        <v>0</v>
      </c>
      <c r="N76" t="s">
        <v>28</v>
      </c>
    </row>
    <row r="77" ht="12.75">
      <c r="N77">
        <f>SUM(M62:M76)</f>
        <v>0</v>
      </c>
    </row>
    <row r="78" spans="1:6" ht="12.75">
      <c r="A78" s="25" t="s">
        <v>430</v>
      </c>
      <c r="F78" s="26" t="s">
        <v>12</v>
      </c>
    </row>
    <row r="79" spans="1:2" ht="12.75">
      <c r="A79" s="27"/>
      <c r="B79" s="27"/>
    </row>
    <row r="80" spans="1:17" ht="12.75">
      <c r="A80" s="28"/>
      <c r="B80" t="s">
        <v>21</v>
      </c>
      <c r="E80" t="str">
        <f>IF(A80="x",10," ")</f>
        <v> </v>
      </c>
      <c r="Q80">
        <f>SUM(E80:E83)</f>
        <v>0</v>
      </c>
    </row>
    <row r="81" spans="1:5" ht="12.75">
      <c r="A81" s="28"/>
      <c r="B81" t="s">
        <v>224</v>
      </c>
      <c r="E81" t="str">
        <f>IF(A81="x",15," ")</f>
        <v> </v>
      </c>
    </row>
    <row r="82" spans="1:5" ht="12.75">
      <c r="A82" s="28"/>
      <c r="B82" t="s">
        <v>225</v>
      </c>
      <c r="E82" t="str">
        <f>IF(A82="x",20," ")</f>
        <v> </v>
      </c>
    </row>
    <row r="83" spans="1:5" ht="12.75">
      <c r="A83" s="28"/>
      <c r="B83" t="s">
        <v>226</v>
      </c>
      <c r="E83" t="str">
        <f>IF(A83="x",25," ")</f>
        <v> </v>
      </c>
    </row>
    <row r="85" spans="1:6" ht="12.75">
      <c r="A85" s="29" t="s">
        <v>383</v>
      </c>
      <c r="F85" s="26" t="s">
        <v>12</v>
      </c>
    </row>
    <row r="86" spans="1:2" ht="12.75">
      <c r="A86" s="27"/>
      <c r="B86" s="27"/>
    </row>
    <row r="87" spans="1:2" ht="12.75">
      <c r="A87" s="28"/>
      <c r="B87" t="s">
        <v>34</v>
      </c>
    </row>
    <row r="88" ht="12.75">
      <c r="A88" s="28"/>
    </row>
    <row r="89" spans="1:2" ht="12.75">
      <c r="A89" s="28"/>
      <c r="B89" t="s">
        <v>152</v>
      </c>
    </row>
    <row r="90" spans="1:2" ht="12.75">
      <c r="A90" s="28"/>
      <c r="B90" t="s">
        <v>235</v>
      </c>
    </row>
    <row r="91" ht="12.75">
      <c r="A91" s="37"/>
    </row>
    <row r="92" spans="1:2" ht="12.75">
      <c r="A92" s="28"/>
      <c r="B92" t="s">
        <v>458</v>
      </c>
    </row>
    <row r="93" spans="1:2" ht="12.75">
      <c r="A93" s="28"/>
      <c r="B93" t="s">
        <v>508</v>
      </c>
    </row>
    <row r="94" spans="1:2" ht="12.75">
      <c r="A94" s="28"/>
      <c r="B94" t="s">
        <v>464</v>
      </c>
    </row>
    <row r="95" spans="1:2" ht="12.75">
      <c r="A95" s="28"/>
      <c r="B95" t="s">
        <v>232</v>
      </c>
    </row>
    <row r="96" spans="1:2" ht="12.75">
      <c r="A96" s="28"/>
      <c r="B96" t="s">
        <v>462</v>
      </c>
    </row>
    <row r="97" spans="1:2" ht="12.75">
      <c r="A97" s="28"/>
      <c r="B97" t="s">
        <v>236</v>
      </c>
    </row>
  </sheetData>
  <sheetProtection/>
  <hyperlinks>
    <hyperlink ref="J8" r:id="rId1" display="www.Monbeaumariage.com"/>
  </hyperlinks>
  <printOptions/>
  <pageMargins left="0.2798611111111111" right="0.2701388888888889" top="0.1701388888888889" bottom="0.2298611111111111" header="0.5118055555555555" footer="0.5118055555555555"/>
  <pageSetup horizontalDpi="300" verticalDpi="300" orientation="portrait" paperSize="9" r:id="rId2"/>
</worksheet>
</file>

<file path=xl/worksheets/sheet10.xml><?xml version="1.0" encoding="utf-8"?>
<worksheet xmlns="http://schemas.openxmlformats.org/spreadsheetml/2006/main" xmlns:r="http://schemas.openxmlformats.org/officeDocument/2006/relationships">
  <dimension ref="A1:IV181"/>
  <sheetViews>
    <sheetView showGridLines="0" showZeros="0" zoomScalePageLayoutView="0" workbookViewId="0" topLeftCell="A15">
      <selection activeCell="I31" sqref="I31"/>
    </sheetView>
  </sheetViews>
  <sheetFormatPr defaultColWidth="11.421875" defaultRowHeight="12.75"/>
  <cols>
    <col min="3" max="3" width="27.28125" style="0" customWidth="1"/>
    <col min="4" max="4" width="19.00390625" style="0" customWidth="1"/>
  </cols>
  <sheetData>
    <row r="1" spans="1:11" ht="18.75">
      <c r="A1" s="1" t="s">
        <v>381</v>
      </c>
      <c r="J1" s="85">
        <v>1.7</v>
      </c>
      <c r="K1">
        <v>32</v>
      </c>
    </row>
    <row r="3" ht="12.75">
      <c r="B3" t="s">
        <v>393</v>
      </c>
    </row>
    <row r="4" ht="12.75">
      <c r="B4" t="s">
        <v>180</v>
      </c>
    </row>
    <row r="5" ht="12.75">
      <c r="B5" t="s">
        <v>325</v>
      </c>
    </row>
    <row r="6" ht="12.75">
      <c r="B6" t="s">
        <v>394</v>
      </c>
    </row>
    <row r="7" ht="12.75">
      <c r="B7" t="s">
        <v>395</v>
      </c>
    </row>
    <row r="8" ht="12.75">
      <c r="B8" t="s">
        <v>388</v>
      </c>
    </row>
    <row r="9" ht="12.75">
      <c r="B9" t="s">
        <v>396</v>
      </c>
    </row>
    <row r="10" ht="12.75">
      <c r="B10" t="s">
        <v>397</v>
      </c>
    </row>
    <row r="11" ht="12.75">
      <c r="B11" t="s">
        <v>398</v>
      </c>
    </row>
    <row r="13" spans="1:253" ht="18.75">
      <c r="A13" s="1" t="s">
        <v>499</v>
      </c>
      <c r="E13" s="1"/>
      <c r="I13" s="1"/>
      <c r="M13" s="1"/>
      <c r="Q13" s="1"/>
      <c r="U13" s="1"/>
      <c r="Y13" s="1"/>
      <c r="AC13" s="1"/>
      <c r="AG13" s="1"/>
      <c r="AK13" s="1"/>
      <c r="AO13" s="1"/>
      <c r="AS13" s="1"/>
      <c r="AW13" s="1"/>
      <c r="BA13" s="1"/>
      <c r="BE13" s="1"/>
      <c r="BI13" s="1"/>
      <c r="BM13" s="1"/>
      <c r="BQ13" s="1"/>
      <c r="BU13" s="1"/>
      <c r="BY13" s="1"/>
      <c r="CC13" s="1"/>
      <c r="CG13" s="1"/>
      <c r="CK13" s="1"/>
      <c r="CO13" s="1"/>
      <c r="CS13" s="1"/>
      <c r="CW13" s="1"/>
      <c r="DA13" s="1"/>
      <c r="DE13" s="1"/>
      <c r="DI13" s="1"/>
      <c r="DM13" s="1"/>
      <c r="DQ13" s="1"/>
      <c r="DU13" s="1"/>
      <c r="DY13" s="1"/>
      <c r="EC13" s="1"/>
      <c r="EG13" s="1"/>
      <c r="EK13" s="1"/>
      <c r="EO13" s="1"/>
      <c r="ES13" s="1"/>
      <c r="EW13" s="1"/>
      <c r="FA13" s="1"/>
      <c r="FE13" s="1"/>
      <c r="FI13" s="1"/>
      <c r="FM13" s="1"/>
      <c r="FQ13" s="1"/>
      <c r="FU13" s="1"/>
      <c r="FY13" s="1"/>
      <c r="GC13" s="1"/>
      <c r="GG13" s="1"/>
      <c r="GK13" s="1"/>
      <c r="GO13" s="1"/>
      <c r="GS13" s="1"/>
      <c r="GW13" s="1"/>
      <c r="HA13" s="1"/>
      <c r="HE13" s="1"/>
      <c r="HI13" s="1"/>
      <c r="HM13" s="1"/>
      <c r="HQ13" s="1"/>
      <c r="HU13" s="1"/>
      <c r="HY13" s="1"/>
      <c r="IC13" s="1"/>
      <c r="IG13" s="1"/>
      <c r="IK13" s="1"/>
      <c r="IO13" s="1"/>
      <c r="IS13" s="1"/>
    </row>
    <row r="15" spans="2:256" ht="15">
      <c r="B15" s="138" t="s">
        <v>500</v>
      </c>
      <c r="C15" s="138"/>
      <c r="D15" s="118"/>
      <c r="F15" s="138"/>
      <c r="G15" s="138"/>
      <c r="H15" s="118"/>
      <c r="J15" s="138"/>
      <c r="K15" s="138"/>
      <c r="L15" s="118"/>
      <c r="N15" s="138"/>
      <c r="O15" s="138"/>
      <c r="P15" s="118"/>
      <c r="R15" s="138"/>
      <c r="S15" s="138"/>
      <c r="T15" s="118"/>
      <c r="V15" s="138"/>
      <c r="W15" s="138"/>
      <c r="X15" s="118"/>
      <c r="Z15" s="138"/>
      <c r="AA15" s="138"/>
      <c r="AB15" s="118"/>
      <c r="AD15" s="138"/>
      <c r="AE15" s="138"/>
      <c r="AF15" s="118"/>
      <c r="AH15" s="138"/>
      <c r="AI15" s="138"/>
      <c r="AJ15" s="118"/>
      <c r="AL15" s="138"/>
      <c r="AM15" s="138"/>
      <c r="AN15" s="118"/>
      <c r="AP15" s="138"/>
      <c r="AQ15" s="138"/>
      <c r="AR15" s="118"/>
      <c r="AT15" s="138"/>
      <c r="AU15" s="138"/>
      <c r="AV15" s="118"/>
      <c r="AX15" s="138"/>
      <c r="AY15" s="138"/>
      <c r="AZ15" s="118"/>
      <c r="BB15" s="138"/>
      <c r="BC15" s="138"/>
      <c r="BD15" s="118"/>
      <c r="BF15" s="138"/>
      <c r="BG15" s="138"/>
      <c r="BH15" s="118"/>
      <c r="BJ15" s="138"/>
      <c r="BK15" s="138"/>
      <c r="BL15" s="118"/>
      <c r="BN15" s="138"/>
      <c r="BO15" s="138"/>
      <c r="BP15" s="118"/>
      <c r="BR15" s="138"/>
      <c r="BS15" s="138"/>
      <c r="BT15" s="118"/>
      <c r="BV15" s="138"/>
      <c r="BW15" s="138"/>
      <c r="BX15" s="118"/>
      <c r="BZ15" s="138"/>
      <c r="CA15" s="138"/>
      <c r="CB15" s="118"/>
      <c r="CD15" s="138"/>
      <c r="CE15" s="138"/>
      <c r="CF15" s="118"/>
      <c r="CH15" s="138"/>
      <c r="CI15" s="138"/>
      <c r="CJ15" s="118"/>
      <c r="CL15" s="138"/>
      <c r="CM15" s="138"/>
      <c r="CN15" s="118"/>
      <c r="CP15" s="138"/>
      <c r="CQ15" s="138"/>
      <c r="CR15" s="118"/>
      <c r="CT15" s="138"/>
      <c r="CU15" s="138"/>
      <c r="CV15" s="118"/>
      <c r="CX15" s="138"/>
      <c r="CY15" s="138"/>
      <c r="CZ15" s="118"/>
      <c r="DB15" s="138"/>
      <c r="DC15" s="138"/>
      <c r="DD15" s="118"/>
      <c r="DF15" s="138"/>
      <c r="DG15" s="138"/>
      <c r="DH15" s="118"/>
      <c r="DJ15" s="138"/>
      <c r="DK15" s="138"/>
      <c r="DL15" s="118"/>
      <c r="DN15" s="138"/>
      <c r="DO15" s="138"/>
      <c r="DP15" s="118"/>
      <c r="DR15" s="138"/>
      <c r="DS15" s="138"/>
      <c r="DT15" s="118"/>
      <c r="DV15" s="138"/>
      <c r="DW15" s="138"/>
      <c r="DX15" s="118"/>
      <c r="DZ15" s="138"/>
      <c r="EA15" s="138"/>
      <c r="EB15" s="118"/>
      <c r="ED15" s="138"/>
      <c r="EE15" s="138"/>
      <c r="EF15" s="118"/>
      <c r="EH15" s="138"/>
      <c r="EI15" s="138"/>
      <c r="EJ15" s="118"/>
      <c r="EL15" s="138"/>
      <c r="EM15" s="138"/>
      <c r="EN15" s="118"/>
      <c r="EP15" s="138"/>
      <c r="EQ15" s="138"/>
      <c r="ER15" s="118"/>
      <c r="ET15" s="138"/>
      <c r="EU15" s="138"/>
      <c r="EV15" s="118"/>
      <c r="EX15" s="138"/>
      <c r="EY15" s="138"/>
      <c r="EZ15" s="118"/>
      <c r="FB15" s="138"/>
      <c r="FC15" s="138"/>
      <c r="FD15" s="118"/>
      <c r="FF15" s="138"/>
      <c r="FG15" s="138"/>
      <c r="FH15" s="118"/>
      <c r="FJ15" s="138"/>
      <c r="FK15" s="138"/>
      <c r="FL15" s="118"/>
      <c r="FN15" s="138"/>
      <c r="FO15" s="138"/>
      <c r="FP15" s="118"/>
      <c r="FR15" s="138"/>
      <c r="FS15" s="138"/>
      <c r="FT15" s="118"/>
      <c r="FV15" s="138"/>
      <c r="FW15" s="138"/>
      <c r="FX15" s="118"/>
      <c r="FZ15" s="138"/>
      <c r="GA15" s="138"/>
      <c r="GB15" s="118"/>
      <c r="GD15" s="138"/>
      <c r="GE15" s="138"/>
      <c r="GF15" s="118"/>
      <c r="GH15" s="138"/>
      <c r="GI15" s="138"/>
      <c r="GJ15" s="118"/>
      <c r="GL15" s="138"/>
      <c r="GM15" s="138"/>
      <c r="GN15" s="118"/>
      <c r="GP15" s="138"/>
      <c r="GQ15" s="138"/>
      <c r="GR15" s="118"/>
      <c r="GT15" s="138"/>
      <c r="GU15" s="138"/>
      <c r="GV15" s="118"/>
      <c r="GX15" s="138"/>
      <c r="GY15" s="138"/>
      <c r="GZ15" s="118"/>
      <c r="HB15" s="138"/>
      <c r="HC15" s="138"/>
      <c r="HD15" s="118"/>
      <c r="HF15" s="138"/>
      <c r="HG15" s="138"/>
      <c r="HH15" s="118"/>
      <c r="HJ15" s="138"/>
      <c r="HK15" s="138"/>
      <c r="HL15" s="118"/>
      <c r="HN15" s="138"/>
      <c r="HO15" s="138"/>
      <c r="HP15" s="118"/>
      <c r="HR15" s="138"/>
      <c r="HS15" s="138"/>
      <c r="HT15" s="118"/>
      <c r="HV15" s="138"/>
      <c r="HW15" s="138"/>
      <c r="HX15" s="118"/>
      <c r="HZ15" s="138"/>
      <c r="IA15" s="138"/>
      <c r="IB15" s="118"/>
      <c r="ID15" s="138"/>
      <c r="IE15" s="138"/>
      <c r="IF15" s="118"/>
      <c r="IH15" s="138"/>
      <c r="II15" s="138"/>
      <c r="IJ15" s="118"/>
      <c r="IL15" s="138"/>
      <c r="IM15" s="138"/>
      <c r="IN15" s="118"/>
      <c r="IP15" s="138"/>
      <c r="IQ15" s="138"/>
      <c r="IR15" s="118"/>
      <c r="IT15" s="138"/>
      <c r="IU15" s="138"/>
      <c r="IV15" s="118"/>
    </row>
    <row r="16" spans="2:256" ht="12.75">
      <c r="B16" s="138" t="s">
        <v>501</v>
      </c>
      <c r="C16" s="138"/>
      <c r="D16" s="138"/>
      <c r="F16" s="138"/>
      <c r="G16" s="138"/>
      <c r="H16" s="138"/>
      <c r="J16" s="138"/>
      <c r="K16" s="138"/>
      <c r="L16" s="138"/>
      <c r="N16" s="138"/>
      <c r="O16" s="138"/>
      <c r="P16" s="138"/>
      <c r="R16" s="138"/>
      <c r="S16" s="138"/>
      <c r="T16" s="138"/>
      <c r="V16" s="138"/>
      <c r="W16" s="138"/>
      <c r="X16" s="138"/>
      <c r="Z16" s="138"/>
      <c r="AA16" s="138"/>
      <c r="AB16" s="138"/>
      <c r="AD16" s="138"/>
      <c r="AE16" s="138"/>
      <c r="AF16" s="138"/>
      <c r="AH16" s="138"/>
      <c r="AI16" s="138"/>
      <c r="AJ16" s="138"/>
      <c r="AL16" s="138"/>
      <c r="AM16" s="138"/>
      <c r="AN16" s="138"/>
      <c r="AP16" s="138"/>
      <c r="AQ16" s="138"/>
      <c r="AR16" s="138"/>
      <c r="AT16" s="138"/>
      <c r="AU16" s="138"/>
      <c r="AV16" s="138"/>
      <c r="AX16" s="138"/>
      <c r="AY16" s="138"/>
      <c r="AZ16" s="138"/>
      <c r="BB16" s="138"/>
      <c r="BC16" s="138"/>
      <c r="BD16" s="138"/>
      <c r="BF16" s="138"/>
      <c r="BG16" s="138"/>
      <c r="BH16" s="138"/>
      <c r="BJ16" s="138"/>
      <c r="BK16" s="138"/>
      <c r="BL16" s="138"/>
      <c r="BN16" s="138"/>
      <c r="BO16" s="138"/>
      <c r="BP16" s="138"/>
      <c r="BR16" s="138"/>
      <c r="BS16" s="138"/>
      <c r="BT16" s="138"/>
      <c r="BV16" s="138"/>
      <c r="BW16" s="138"/>
      <c r="BX16" s="138"/>
      <c r="BZ16" s="138"/>
      <c r="CA16" s="138"/>
      <c r="CB16" s="138"/>
      <c r="CD16" s="138"/>
      <c r="CE16" s="138"/>
      <c r="CF16" s="138"/>
      <c r="CH16" s="138"/>
      <c r="CI16" s="138"/>
      <c r="CJ16" s="138"/>
      <c r="CL16" s="138"/>
      <c r="CM16" s="138"/>
      <c r="CN16" s="138"/>
      <c r="CP16" s="138"/>
      <c r="CQ16" s="138"/>
      <c r="CR16" s="138"/>
      <c r="CT16" s="138"/>
      <c r="CU16" s="138"/>
      <c r="CV16" s="138"/>
      <c r="CX16" s="138"/>
      <c r="CY16" s="138"/>
      <c r="CZ16" s="138"/>
      <c r="DB16" s="138"/>
      <c r="DC16" s="138"/>
      <c r="DD16" s="138"/>
      <c r="DF16" s="138"/>
      <c r="DG16" s="138"/>
      <c r="DH16" s="138"/>
      <c r="DJ16" s="138"/>
      <c r="DK16" s="138"/>
      <c r="DL16" s="138"/>
      <c r="DN16" s="138"/>
      <c r="DO16" s="138"/>
      <c r="DP16" s="138"/>
      <c r="DR16" s="138"/>
      <c r="DS16" s="138"/>
      <c r="DT16" s="138"/>
      <c r="DV16" s="138"/>
      <c r="DW16" s="138"/>
      <c r="DX16" s="138"/>
      <c r="DZ16" s="138"/>
      <c r="EA16" s="138"/>
      <c r="EB16" s="138"/>
      <c r="ED16" s="138"/>
      <c r="EE16" s="138"/>
      <c r="EF16" s="138"/>
      <c r="EH16" s="138"/>
      <c r="EI16" s="138"/>
      <c r="EJ16" s="138"/>
      <c r="EL16" s="138"/>
      <c r="EM16" s="138"/>
      <c r="EN16" s="138"/>
      <c r="EP16" s="138"/>
      <c r="EQ16" s="138"/>
      <c r="ER16" s="138"/>
      <c r="ET16" s="138"/>
      <c r="EU16" s="138"/>
      <c r="EV16" s="138"/>
      <c r="EX16" s="138"/>
      <c r="EY16" s="138"/>
      <c r="EZ16" s="138"/>
      <c r="FB16" s="138"/>
      <c r="FC16" s="138"/>
      <c r="FD16" s="138"/>
      <c r="FF16" s="138"/>
      <c r="FG16" s="138"/>
      <c r="FH16" s="138"/>
      <c r="FJ16" s="138"/>
      <c r="FK16" s="138"/>
      <c r="FL16" s="138"/>
      <c r="FN16" s="138"/>
      <c r="FO16" s="138"/>
      <c r="FP16" s="138"/>
      <c r="FR16" s="138"/>
      <c r="FS16" s="138"/>
      <c r="FT16" s="138"/>
      <c r="FV16" s="138"/>
      <c r="FW16" s="138"/>
      <c r="FX16" s="138"/>
      <c r="FZ16" s="138"/>
      <c r="GA16" s="138"/>
      <c r="GB16" s="138"/>
      <c r="GD16" s="138"/>
      <c r="GE16" s="138"/>
      <c r="GF16" s="138"/>
      <c r="GH16" s="138"/>
      <c r="GI16" s="138"/>
      <c r="GJ16" s="138"/>
      <c r="GL16" s="138"/>
      <c r="GM16" s="138"/>
      <c r="GN16" s="138"/>
      <c r="GP16" s="138"/>
      <c r="GQ16" s="138"/>
      <c r="GR16" s="138"/>
      <c r="GT16" s="138"/>
      <c r="GU16" s="138"/>
      <c r="GV16" s="138"/>
      <c r="GX16" s="138"/>
      <c r="GY16" s="138"/>
      <c r="GZ16" s="138"/>
      <c r="HB16" s="138"/>
      <c r="HC16" s="138"/>
      <c r="HD16" s="138"/>
      <c r="HF16" s="138"/>
      <c r="HG16" s="138"/>
      <c r="HH16" s="138"/>
      <c r="HJ16" s="138"/>
      <c r="HK16" s="138"/>
      <c r="HL16" s="138"/>
      <c r="HN16" s="138"/>
      <c r="HO16" s="138"/>
      <c r="HP16" s="138"/>
      <c r="HR16" s="138"/>
      <c r="HS16" s="138"/>
      <c r="HT16" s="138"/>
      <c r="HV16" s="138"/>
      <c r="HW16" s="138"/>
      <c r="HX16" s="138"/>
      <c r="HZ16" s="138"/>
      <c r="IA16" s="138"/>
      <c r="IB16" s="138"/>
      <c r="ID16" s="138"/>
      <c r="IE16" s="138"/>
      <c r="IF16" s="138"/>
      <c r="IH16" s="138"/>
      <c r="II16" s="138"/>
      <c r="IJ16" s="138"/>
      <c r="IL16" s="138"/>
      <c r="IM16" s="138"/>
      <c r="IN16" s="138"/>
      <c r="IP16" s="138"/>
      <c r="IQ16" s="138"/>
      <c r="IR16" s="138"/>
      <c r="IT16" s="138"/>
      <c r="IU16" s="138"/>
      <c r="IV16" s="138"/>
    </row>
    <row r="17" spans="2:256" ht="15">
      <c r="B17" s="139" t="s">
        <v>502</v>
      </c>
      <c r="C17" s="138"/>
      <c r="D17" s="118"/>
      <c r="F17" s="139"/>
      <c r="G17" s="138"/>
      <c r="H17" s="118"/>
      <c r="J17" s="139"/>
      <c r="K17" s="138"/>
      <c r="L17" s="118"/>
      <c r="N17" s="139"/>
      <c r="O17" s="138"/>
      <c r="P17" s="118"/>
      <c r="R17" s="139"/>
      <c r="S17" s="138"/>
      <c r="T17" s="118"/>
      <c r="V17" s="139"/>
      <c r="W17" s="138"/>
      <c r="X17" s="118"/>
      <c r="Z17" s="139"/>
      <c r="AA17" s="138"/>
      <c r="AB17" s="118"/>
      <c r="AD17" s="139"/>
      <c r="AE17" s="138"/>
      <c r="AF17" s="118"/>
      <c r="AH17" s="139"/>
      <c r="AI17" s="138"/>
      <c r="AJ17" s="118"/>
      <c r="AL17" s="139"/>
      <c r="AM17" s="138"/>
      <c r="AN17" s="118"/>
      <c r="AP17" s="139"/>
      <c r="AQ17" s="138"/>
      <c r="AR17" s="118"/>
      <c r="AT17" s="139"/>
      <c r="AU17" s="138"/>
      <c r="AV17" s="118"/>
      <c r="AX17" s="139"/>
      <c r="AY17" s="138"/>
      <c r="AZ17" s="118"/>
      <c r="BB17" s="139"/>
      <c r="BC17" s="138"/>
      <c r="BD17" s="118"/>
      <c r="BF17" s="139"/>
      <c r="BG17" s="138"/>
      <c r="BH17" s="118"/>
      <c r="BJ17" s="139"/>
      <c r="BK17" s="138"/>
      <c r="BL17" s="118"/>
      <c r="BN17" s="139"/>
      <c r="BO17" s="138"/>
      <c r="BP17" s="118"/>
      <c r="BR17" s="139"/>
      <c r="BS17" s="138"/>
      <c r="BT17" s="118"/>
      <c r="BV17" s="139"/>
      <c r="BW17" s="138"/>
      <c r="BX17" s="118"/>
      <c r="BZ17" s="139"/>
      <c r="CA17" s="138"/>
      <c r="CB17" s="118"/>
      <c r="CD17" s="139"/>
      <c r="CE17" s="138"/>
      <c r="CF17" s="118"/>
      <c r="CH17" s="139"/>
      <c r="CI17" s="138"/>
      <c r="CJ17" s="118"/>
      <c r="CL17" s="139"/>
      <c r="CM17" s="138"/>
      <c r="CN17" s="118"/>
      <c r="CP17" s="139"/>
      <c r="CQ17" s="138"/>
      <c r="CR17" s="118"/>
      <c r="CT17" s="139"/>
      <c r="CU17" s="138"/>
      <c r="CV17" s="118"/>
      <c r="CX17" s="139"/>
      <c r="CY17" s="138"/>
      <c r="CZ17" s="118"/>
      <c r="DB17" s="139"/>
      <c r="DC17" s="138"/>
      <c r="DD17" s="118"/>
      <c r="DF17" s="139"/>
      <c r="DG17" s="138"/>
      <c r="DH17" s="118"/>
      <c r="DJ17" s="139"/>
      <c r="DK17" s="138"/>
      <c r="DL17" s="118"/>
      <c r="DN17" s="139"/>
      <c r="DO17" s="138"/>
      <c r="DP17" s="118"/>
      <c r="DR17" s="139"/>
      <c r="DS17" s="138"/>
      <c r="DT17" s="118"/>
      <c r="DV17" s="139"/>
      <c r="DW17" s="138"/>
      <c r="DX17" s="118"/>
      <c r="DZ17" s="139"/>
      <c r="EA17" s="138"/>
      <c r="EB17" s="118"/>
      <c r="ED17" s="139"/>
      <c r="EE17" s="138"/>
      <c r="EF17" s="118"/>
      <c r="EH17" s="139"/>
      <c r="EI17" s="138"/>
      <c r="EJ17" s="118"/>
      <c r="EL17" s="139"/>
      <c r="EM17" s="138"/>
      <c r="EN17" s="118"/>
      <c r="EP17" s="139"/>
      <c r="EQ17" s="138"/>
      <c r="ER17" s="118"/>
      <c r="ET17" s="139"/>
      <c r="EU17" s="138"/>
      <c r="EV17" s="118"/>
      <c r="EX17" s="139"/>
      <c r="EY17" s="138"/>
      <c r="EZ17" s="118"/>
      <c r="FB17" s="139"/>
      <c r="FC17" s="138"/>
      <c r="FD17" s="118"/>
      <c r="FF17" s="139"/>
      <c r="FG17" s="138"/>
      <c r="FH17" s="118"/>
      <c r="FJ17" s="139"/>
      <c r="FK17" s="138"/>
      <c r="FL17" s="118"/>
      <c r="FN17" s="139"/>
      <c r="FO17" s="138"/>
      <c r="FP17" s="118"/>
      <c r="FR17" s="139"/>
      <c r="FS17" s="138"/>
      <c r="FT17" s="118"/>
      <c r="FV17" s="139"/>
      <c r="FW17" s="138"/>
      <c r="FX17" s="118"/>
      <c r="FZ17" s="139"/>
      <c r="GA17" s="138"/>
      <c r="GB17" s="118"/>
      <c r="GD17" s="139"/>
      <c r="GE17" s="138"/>
      <c r="GF17" s="118"/>
      <c r="GH17" s="139"/>
      <c r="GI17" s="138"/>
      <c r="GJ17" s="118"/>
      <c r="GL17" s="139"/>
      <c r="GM17" s="138"/>
      <c r="GN17" s="118"/>
      <c r="GP17" s="139"/>
      <c r="GQ17" s="138"/>
      <c r="GR17" s="118"/>
      <c r="GT17" s="139"/>
      <c r="GU17" s="138"/>
      <c r="GV17" s="118"/>
      <c r="GX17" s="139"/>
      <c r="GY17" s="138"/>
      <c r="GZ17" s="118"/>
      <c r="HB17" s="139"/>
      <c r="HC17" s="138"/>
      <c r="HD17" s="118"/>
      <c r="HF17" s="139"/>
      <c r="HG17" s="138"/>
      <c r="HH17" s="118"/>
      <c r="HJ17" s="139"/>
      <c r="HK17" s="138"/>
      <c r="HL17" s="118"/>
      <c r="HN17" s="139"/>
      <c r="HO17" s="138"/>
      <c r="HP17" s="118"/>
      <c r="HR17" s="139"/>
      <c r="HS17" s="138"/>
      <c r="HT17" s="118"/>
      <c r="HV17" s="139"/>
      <c r="HW17" s="138"/>
      <c r="HX17" s="118"/>
      <c r="HZ17" s="139"/>
      <c r="IA17" s="138"/>
      <c r="IB17" s="118"/>
      <c r="ID17" s="139"/>
      <c r="IE17" s="138"/>
      <c r="IF17" s="118"/>
      <c r="IH17" s="139"/>
      <c r="II17" s="138"/>
      <c r="IJ17" s="118"/>
      <c r="IL17" s="139"/>
      <c r="IM17" s="138"/>
      <c r="IN17" s="118"/>
      <c r="IP17" s="139"/>
      <c r="IQ17" s="138"/>
      <c r="IR17" s="118"/>
      <c r="IT17" s="139"/>
      <c r="IU17" s="138"/>
      <c r="IV17" s="118"/>
    </row>
    <row r="18" spans="2:256" ht="15">
      <c r="B18" s="138" t="s">
        <v>503</v>
      </c>
      <c r="C18" s="138"/>
      <c r="D18" s="118"/>
      <c r="F18" s="138"/>
      <c r="G18" s="138"/>
      <c r="H18" s="118"/>
      <c r="J18" s="138"/>
      <c r="K18" s="138"/>
      <c r="L18" s="118"/>
      <c r="N18" s="138"/>
      <c r="O18" s="138"/>
      <c r="P18" s="118"/>
      <c r="R18" s="138"/>
      <c r="S18" s="138"/>
      <c r="T18" s="118"/>
      <c r="V18" s="138"/>
      <c r="W18" s="138"/>
      <c r="X18" s="118"/>
      <c r="Z18" s="138"/>
      <c r="AA18" s="138"/>
      <c r="AB18" s="118"/>
      <c r="AD18" s="138"/>
      <c r="AE18" s="138"/>
      <c r="AF18" s="118"/>
      <c r="AH18" s="138"/>
      <c r="AI18" s="138"/>
      <c r="AJ18" s="118"/>
      <c r="AL18" s="138"/>
      <c r="AM18" s="138"/>
      <c r="AN18" s="118"/>
      <c r="AP18" s="138"/>
      <c r="AQ18" s="138"/>
      <c r="AR18" s="118"/>
      <c r="AT18" s="138"/>
      <c r="AU18" s="138"/>
      <c r="AV18" s="118"/>
      <c r="AX18" s="138"/>
      <c r="AY18" s="138"/>
      <c r="AZ18" s="118"/>
      <c r="BB18" s="138"/>
      <c r="BC18" s="138"/>
      <c r="BD18" s="118"/>
      <c r="BF18" s="138"/>
      <c r="BG18" s="138"/>
      <c r="BH18" s="118"/>
      <c r="BJ18" s="138"/>
      <c r="BK18" s="138"/>
      <c r="BL18" s="118"/>
      <c r="BN18" s="138"/>
      <c r="BO18" s="138"/>
      <c r="BP18" s="118"/>
      <c r="BR18" s="138"/>
      <c r="BS18" s="138"/>
      <c r="BT18" s="118"/>
      <c r="BV18" s="138"/>
      <c r="BW18" s="138"/>
      <c r="BX18" s="118"/>
      <c r="BZ18" s="138"/>
      <c r="CA18" s="138"/>
      <c r="CB18" s="118"/>
      <c r="CD18" s="138"/>
      <c r="CE18" s="138"/>
      <c r="CF18" s="118"/>
      <c r="CH18" s="138"/>
      <c r="CI18" s="138"/>
      <c r="CJ18" s="118"/>
      <c r="CL18" s="138"/>
      <c r="CM18" s="138"/>
      <c r="CN18" s="118"/>
      <c r="CP18" s="138"/>
      <c r="CQ18" s="138"/>
      <c r="CR18" s="118"/>
      <c r="CT18" s="138"/>
      <c r="CU18" s="138"/>
      <c r="CV18" s="118"/>
      <c r="CX18" s="138"/>
      <c r="CY18" s="138"/>
      <c r="CZ18" s="118"/>
      <c r="DB18" s="138"/>
      <c r="DC18" s="138"/>
      <c r="DD18" s="118"/>
      <c r="DF18" s="138"/>
      <c r="DG18" s="138"/>
      <c r="DH18" s="118"/>
      <c r="DJ18" s="138"/>
      <c r="DK18" s="138"/>
      <c r="DL18" s="118"/>
      <c r="DN18" s="138"/>
      <c r="DO18" s="138"/>
      <c r="DP18" s="118"/>
      <c r="DR18" s="138"/>
      <c r="DS18" s="138"/>
      <c r="DT18" s="118"/>
      <c r="DV18" s="138"/>
      <c r="DW18" s="138"/>
      <c r="DX18" s="118"/>
      <c r="DZ18" s="138"/>
      <c r="EA18" s="138"/>
      <c r="EB18" s="118"/>
      <c r="ED18" s="138"/>
      <c r="EE18" s="138"/>
      <c r="EF18" s="118"/>
      <c r="EH18" s="138"/>
      <c r="EI18" s="138"/>
      <c r="EJ18" s="118"/>
      <c r="EL18" s="138"/>
      <c r="EM18" s="138"/>
      <c r="EN18" s="118"/>
      <c r="EP18" s="138"/>
      <c r="EQ18" s="138"/>
      <c r="ER18" s="118"/>
      <c r="ET18" s="138"/>
      <c r="EU18" s="138"/>
      <c r="EV18" s="118"/>
      <c r="EX18" s="138"/>
      <c r="EY18" s="138"/>
      <c r="EZ18" s="118"/>
      <c r="FB18" s="138"/>
      <c r="FC18" s="138"/>
      <c r="FD18" s="118"/>
      <c r="FF18" s="138"/>
      <c r="FG18" s="138"/>
      <c r="FH18" s="118"/>
      <c r="FJ18" s="138"/>
      <c r="FK18" s="138"/>
      <c r="FL18" s="118"/>
      <c r="FN18" s="138"/>
      <c r="FO18" s="138"/>
      <c r="FP18" s="118"/>
      <c r="FR18" s="138"/>
      <c r="FS18" s="138"/>
      <c r="FT18" s="118"/>
      <c r="FV18" s="138"/>
      <c r="FW18" s="138"/>
      <c r="FX18" s="118"/>
      <c r="FZ18" s="138"/>
      <c r="GA18" s="138"/>
      <c r="GB18" s="118"/>
      <c r="GD18" s="138"/>
      <c r="GE18" s="138"/>
      <c r="GF18" s="118"/>
      <c r="GH18" s="138"/>
      <c r="GI18" s="138"/>
      <c r="GJ18" s="118"/>
      <c r="GL18" s="138"/>
      <c r="GM18" s="138"/>
      <c r="GN18" s="118"/>
      <c r="GP18" s="138"/>
      <c r="GQ18" s="138"/>
      <c r="GR18" s="118"/>
      <c r="GT18" s="138"/>
      <c r="GU18" s="138"/>
      <c r="GV18" s="118"/>
      <c r="GX18" s="138"/>
      <c r="GY18" s="138"/>
      <c r="GZ18" s="118"/>
      <c r="HB18" s="138"/>
      <c r="HC18" s="138"/>
      <c r="HD18" s="118"/>
      <c r="HF18" s="138"/>
      <c r="HG18" s="138"/>
      <c r="HH18" s="118"/>
      <c r="HJ18" s="138"/>
      <c r="HK18" s="138"/>
      <c r="HL18" s="118"/>
      <c r="HN18" s="138"/>
      <c r="HO18" s="138"/>
      <c r="HP18" s="118"/>
      <c r="HR18" s="138"/>
      <c r="HS18" s="138"/>
      <c r="HT18" s="118"/>
      <c r="HV18" s="138"/>
      <c r="HW18" s="138"/>
      <c r="HX18" s="118"/>
      <c r="HZ18" s="138"/>
      <c r="IA18" s="138"/>
      <c r="IB18" s="118"/>
      <c r="ID18" s="138"/>
      <c r="IE18" s="138"/>
      <c r="IF18" s="118"/>
      <c r="IH18" s="138"/>
      <c r="II18" s="138"/>
      <c r="IJ18" s="118"/>
      <c r="IL18" s="138"/>
      <c r="IM18" s="138"/>
      <c r="IN18" s="118"/>
      <c r="IP18" s="138"/>
      <c r="IQ18" s="138"/>
      <c r="IR18" s="118"/>
      <c r="IT18" s="138"/>
      <c r="IU18" s="138"/>
      <c r="IV18" s="118"/>
    </row>
    <row r="19" spans="2:256" ht="15">
      <c r="B19" s="117" t="s">
        <v>504</v>
      </c>
      <c r="C19" s="65"/>
      <c r="D19" s="118"/>
      <c r="F19" s="117"/>
      <c r="G19" s="65"/>
      <c r="H19" s="118"/>
      <c r="J19" s="117"/>
      <c r="K19" s="65"/>
      <c r="L19" s="118"/>
      <c r="N19" s="117"/>
      <c r="O19" s="65"/>
      <c r="P19" s="118"/>
      <c r="R19" s="117"/>
      <c r="S19" s="65"/>
      <c r="T19" s="118"/>
      <c r="V19" s="117"/>
      <c r="W19" s="65"/>
      <c r="X19" s="118"/>
      <c r="Z19" s="117"/>
      <c r="AA19" s="65"/>
      <c r="AB19" s="118"/>
      <c r="AD19" s="117"/>
      <c r="AE19" s="65"/>
      <c r="AF19" s="118"/>
      <c r="AH19" s="117"/>
      <c r="AI19" s="65"/>
      <c r="AJ19" s="118"/>
      <c r="AL19" s="117"/>
      <c r="AM19" s="65"/>
      <c r="AN19" s="118"/>
      <c r="AP19" s="117"/>
      <c r="AQ19" s="65"/>
      <c r="AR19" s="118"/>
      <c r="AT19" s="117"/>
      <c r="AU19" s="65"/>
      <c r="AV19" s="118"/>
      <c r="AX19" s="117"/>
      <c r="AY19" s="65"/>
      <c r="AZ19" s="118"/>
      <c r="BB19" s="117"/>
      <c r="BC19" s="65"/>
      <c r="BD19" s="118"/>
      <c r="BF19" s="117"/>
      <c r="BG19" s="65"/>
      <c r="BH19" s="118"/>
      <c r="BJ19" s="117"/>
      <c r="BK19" s="65"/>
      <c r="BL19" s="118"/>
      <c r="BN19" s="117"/>
      <c r="BO19" s="65"/>
      <c r="BP19" s="118"/>
      <c r="BR19" s="117"/>
      <c r="BS19" s="65"/>
      <c r="BT19" s="118"/>
      <c r="BV19" s="117"/>
      <c r="BW19" s="65"/>
      <c r="BX19" s="118"/>
      <c r="BZ19" s="117"/>
      <c r="CA19" s="65"/>
      <c r="CB19" s="118"/>
      <c r="CD19" s="117"/>
      <c r="CE19" s="65"/>
      <c r="CF19" s="118"/>
      <c r="CH19" s="117"/>
      <c r="CI19" s="65"/>
      <c r="CJ19" s="118"/>
      <c r="CL19" s="117"/>
      <c r="CM19" s="65"/>
      <c r="CN19" s="118"/>
      <c r="CP19" s="117"/>
      <c r="CQ19" s="65"/>
      <c r="CR19" s="118"/>
      <c r="CT19" s="117"/>
      <c r="CU19" s="65"/>
      <c r="CV19" s="118"/>
      <c r="CX19" s="117"/>
      <c r="CY19" s="65"/>
      <c r="CZ19" s="118"/>
      <c r="DB19" s="117"/>
      <c r="DC19" s="65"/>
      <c r="DD19" s="118"/>
      <c r="DF19" s="117"/>
      <c r="DG19" s="65"/>
      <c r="DH19" s="118"/>
      <c r="DJ19" s="117"/>
      <c r="DK19" s="65"/>
      <c r="DL19" s="118"/>
      <c r="DN19" s="117"/>
      <c r="DO19" s="65"/>
      <c r="DP19" s="118"/>
      <c r="DR19" s="117"/>
      <c r="DS19" s="65"/>
      <c r="DT19" s="118"/>
      <c r="DV19" s="117"/>
      <c r="DW19" s="65"/>
      <c r="DX19" s="118"/>
      <c r="DZ19" s="117"/>
      <c r="EA19" s="65"/>
      <c r="EB19" s="118"/>
      <c r="ED19" s="117"/>
      <c r="EE19" s="65"/>
      <c r="EF19" s="118"/>
      <c r="EH19" s="117"/>
      <c r="EI19" s="65"/>
      <c r="EJ19" s="118"/>
      <c r="EL19" s="117"/>
      <c r="EM19" s="65"/>
      <c r="EN19" s="118"/>
      <c r="EP19" s="117"/>
      <c r="EQ19" s="65"/>
      <c r="ER19" s="118"/>
      <c r="ET19" s="117"/>
      <c r="EU19" s="65"/>
      <c r="EV19" s="118"/>
      <c r="EX19" s="117"/>
      <c r="EY19" s="65"/>
      <c r="EZ19" s="118"/>
      <c r="FB19" s="117"/>
      <c r="FC19" s="65"/>
      <c r="FD19" s="118"/>
      <c r="FF19" s="117"/>
      <c r="FG19" s="65"/>
      <c r="FH19" s="118"/>
      <c r="FJ19" s="117"/>
      <c r="FK19" s="65"/>
      <c r="FL19" s="118"/>
      <c r="FN19" s="117"/>
      <c r="FO19" s="65"/>
      <c r="FP19" s="118"/>
      <c r="FR19" s="117"/>
      <c r="FS19" s="65"/>
      <c r="FT19" s="118"/>
      <c r="FV19" s="117"/>
      <c r="FW19" s="65"/>
      <c r="FX19" s="118"/>
      <c r="FZ19" s="117"/>
      <c r="GA19" s="65"/>
      <c r="GB19" s="118"/>
      <c r="GD19" s="117"/>
      <c r="GE19" s="65"/>
      <c r="GF19" s="118"/>
      <c r="GH19" s="117"/>
      <c r="GI19" s="65"/>
      <c r="GJ19" s="118"/>
      <c r="GL19" s="117"/>
      <c r="GM19" s="65"/>
      <c r="GN19" s="118"/>
      <c r="GP19" s="117"/>
      <c r="GQ19" s="65"/>
      <c r="GR19" s="118"/>
      <c r="GT19" s="117"/>
      <c r="GU19" s="65"/>
      <c r="GV19" s="118"/>
      <c r="GX19" s="117"/>
      <c r="GY19" s="65"/>
      <c r="GZ19" s="118"/>
      <c r="HB19" s="117"/>
      <c r="HC19" s="65"/>
      <c r="HD19" s="118"/>
      <c r="HF19" s="117"/>
      <c r="HG19" s="65"/>
      <c r="HH19" s="118"/>
      <c r="HJ19" s="117"/>
      <c r="HK19" s="65"/>
      <c r="HL19" s="118"/>
      <c r="HN19" s="117"/>
      <c r="HO19" s="65"/>
      <c r="HP19" s="118"/>
      <c r="HR19" s="117"/>
      <c r="HS19" s="65"/>
      <c r="HT19" s="118"/>
      <c r="HV19" s="117"/>
      <c r="HW19" s="65"/>
      <c r="HX19" s="118"/>
      <c r="HZ19" s="117"/>
      <c r="IA19" s="65"/>
      <c r="IB19" s="118"/>
      <c r="ID19" s="117"/>
      <c r="IE19" s="65"/>
      <c r="IF19" s="118"/>
      <c r="IH19" s="117"/>
      <c r="II19" s="65"/>
      <c r="IJ19" s="118"/>
      <c r="IL19" s="117"/>
      <c r="IM19" s="65"/>
      <c r="IN19" s="118"/>
      <c r="IP19" s="117"/>
      <c r="IQ19" s="65"/>
      <c r="IR19" s="118"/>
      <c r="IT19" s="117"/>
      <c r="IU19" s="65"/>
      <c r="IV19" s="118"/>
    </row>
    <row r="20" spans="2:256" ht="15">
      <c r="B20" s="138" t="s">
        <v>505</v>
      </c>
      <c r="C20" s="138"/>
      <c r="D20" s="118"/>
      <c r="F20" s="138"/>
      <c r="G20" s="138"/>
      <c r="H20" s="118"/>
      <c r="J20" s="138"/>
      <c r="K20" s="138"/>
      <c r="L20" s="118"/>
      <c r="N20" s="138"/>
      <c r="O20" s="138"/>
      <c r="P20" s="118"/>
      <c r="R20" s="138"/>
      <c r="S20" s="138"/>
      <c r="T20" s="118"/>
      <c r="V20" s="138"/>
      <c r="W20" s="138"/>
      <c r="X20" s="118"/>
      <c r="Z20" s="138"/>
      <c r="AA20" s="138"/>
      <c r="AB20" s="118"/>
      <c r="AD20" s="138"/>
      <c r="AE20" s="138"/>
      <c r="AF20" s="118"/>
      <c r="AH20" s="138"/>
      <c r="AI20" s="138"/>
      <c r="AJ20" s="118"/>
      <c r="AL20" s="138"/>
      <c r="AM20" s="138"/>
      <c r="AN20" s="118"/>
      <c r="AP20" s="138"/>
      <c r="AQ20" s="138"/>
      <c r="AR20" s="118"/>
      <c r="AT20" s="138"/>
      <c r="AU20" s="138"/>
      <c r="AV20" s="118"/>
      <c r="AX20" s="138"/>
      <c r="AY20" s="138"/>
      <c r="AZ20" s="118"/>
      <c r="BB20" s="138"/>
      <c r="BC20" s="138"/>
      <c r="BD20" s="118"/>
      <c r="BF20" s="138"/>
      <c r="BG20" s="138"/>
      <c r="BH20" s="118"/>
      <c r="BJ20" s="138"/>
      <c r="BK20" s="138"/>
      <c r="BL20" s="118"/>
      <c r="BN20" s="138"/>
      <c r="BO20" s="138"/>
      <c r="BP20" s="118"/>
      <c r="BR20" s="138"/>
      <c r="BS20" s="138"/>
      <c r="BT20" s="118"/>
      <c r="BV20" s="138"/>
      <c r="BW20" s="138"/>
      <c r="BX20" s="118"/>
      <c r="BZ20" s="138"/>
      <c r="CA20" s="138"/>
      <c r="CB20" s="118"/>
      <c r="CD20" s="138"/>
      <c r="CE20" s="138"/>
      <c r="CF20" s="118"/>
      <c r="CH20" s="138"/>
      <c r="CI20" s="138"/>
      <c r="CJ20" s="118"/>
      <c r="CL20" s="138"/>
      <c r="CM20" s="138"/>
      <c r="CN20" s="118"/>
      <c r="CP20" s="138"/>
      <c r="CQ20" s="138"/>
      <c r="CR20" s="118"/>
      <c r="CT20" s="138"/>
      <c r="CU20" s="138"/>
      <c r="CV20" s="118"/>
      <c r="CX20" s="138"/>
      <c r="CY20" s="138"/>
      <c r="CZ20" s="118"/>
      <c r="DB20" s="138"/>
      <c r="DC20" s="138"/>
      <c r="DD20" s="118"/>
      <c r="DF20" s="138"/>
      <c r="DG20" s="138"/>
      <c r="DH20" s="118"/>
      <c r="DJ20" s="138"/>
      <c r="DK20" s="138"/>
      <c r="DL20" s="118"/>
      <c r="DN20" s="138"/>
      <c r="DO20" s="138"/>
      <c r="DP20" s="118"/>
      <c r="DR20" s="138"/>
      <c r="DS20" s="138"/>
      <c r="DT20" s="118"/>
      <c r="DV20" s="138"/>
      <c r="DW20" s="138"/>
      <c r="DX20" s="118"/>
      <c r="DZ20" s="138"/>
      <c r="EA20" s="138"/>
      <c r="EB20" s="118"/>
      <c r="ED20" s="138"/>
      <c r="EE20" s="138"/>
      <c r="EF20" s="118"/>
      <c r="EH20" s="138"/>
      <c r="EI20" s="138"/>
      <c r="EJ20" s="118"/>
      <c r="EL20" s="138"/>
      <c r="EM20" s="138"/>
      <c r="EN20" s="118"/>
      <c r="EP20" s="138"/>
      <c r="EQ20" s="138"/>
      <c r="ER20" s="118"/>
      <c r="ET20" s="138"/>
      <c r="EU20" s="138"/>
      <c r="EV20" s="118"/>
      <c r="EX20" s="138"/>
      <c r="EY20" s="138"/>
      <c r="EZ20" s="118"/>
      <c r="FB20" s="138"/>
      <c r="FC20" s="138"/>
      <c r="FD20" s="118"/>
      <c r="FF20" s="138"/>
      <c r="FG20" s="138"/>
      <c r="FH20" s="118"/>
      <c r="FJ20" s="138"/>
      <c r="FK20" s="138"/>
      <c r="FL20" s="118"/>
      <c r="FN20" s="138"/>
      <c r="FO20" s="138"/>
      <c r="FP20" s="118"/>
      <c r="FR20" s="138"/>
      <c r="FS20" s="138"/>
      <c r="FT20" s="118"/>
      <c r="FV20" s="138"/>
      <c r="FW20" s="138"/>
      <c r="FX20" s="118"/>
      <c r="FZ20" s="138"/>
      <c r="GA20" s="138"/>
      <c r="GB20" s="118"/>
      <c r="GD20" s="138"/>
      <c r="GE20" s="138"/>
      <c r="GF20" s="118"/>
      <c r="GH20" s="138"/>
      <c r="GI20" s="138"/>
      <c r="GJ20" s="118"/>
      <c r="GL20" s="138"/>
      <c r="GM20" s="138"/>
      <c r="GN20" s="118"/>
      <c r="GP20" s="138"/>
      <c r="GQ20" s="138"/>
      <c r="GR20" s="118"/>
      <c r="GT20" s="138"/>
      <c r="GU20" s="138"/>
      <c r="GV20" s="118"/>
      <c r="GX20" s="138"/>
      <c r="GY20" s="138"/>
      <c r="GZ20" s="118"/>
      <c r="HB20" s="138"/>
      <c r="HC20" s="138"/>
      <c r="HD20" s="118"/>
      <c r="HF20" s="138"/>
      <c r="HG20" s="138"/>
      <c r="HH20" s="118"/>
      <c r="HJ20" s="138"/>
      <c r="HK20" s="138"/>
      <c r="HL20" s="118"/>
      <c r="HN20" s="138"/>
      <c r="HO20" s="138"/>
      <c r="HP20" s="118"/>
      <c r="HR20" s="138"/>
      <c r="HS20" s="138"/>
      <c r="HT20" s="118"/>
      <c r="HV20" s="138"/>
      <c r="HW20" s="138"/>
      <c r="HX20" s="118"/>
      <c r="HZ20" s="138"/>
      <c r="IA20" s="138"/>
      <c r="IB20" s="118"/>
      <c r="ID20" s="138"/>
      <c r="IE20" s="138"/>
      <c r="IF20" s="118"/>
      <c r="IH20" s="138"/>
      <c r="II20" s="138"/>
      <c r="IJ20" s="118"/>
      <c r="IL20" s="138"/>
      <c r="IM20" s="138"/>
      <c r="IN20" s="118"/>
      <c r="IP20" s="138"/>
      <c r="IQ20" s="138"/>
      <c r="IR20" s="118"/>
      <c r="IT20" s="138"/>
      <c r="IU20" s="138"/>
      <c r="IV20" s="118"/>
    </row>
    <row r="21" spans="2:255" ht="12.75">
      <c r="B21" s="138" t="s">
        <v>506</v>
      </c>
      <c r="C21" s="138"/>
      <c r="F21" s="138"/>
      <c r="G21" s="138"/>
      <c r="J21" s="138"/>
      <c r="K21" s="138"/>
      <c r="N21" s="138"/>
      <c r="O21" s="138"/>
      <c r="R21" s="138"/>
      <c r="S21" s="138"/>
      <c r="V21" s="138"/>
      <c r="W21" s="138"/>
      <c r="Z21" s="138"/>
      <c r="AA21" s="138"/>
      <c r="AD21" s="138"/>
      <c r="AE21" s="138"/>
      <c r="AH21" s="138"/>
      <c r="AI21" s="138"/>
      <c r="AL21" s="138"/>
      <c r="AM21" s="138"/>
      <c r="AP21" s="138"/>
      <c r="AQ21" s="138"/>
      <c r="AT21" s="138"/>
      <c r="AU21" s="138"/>
      <c r="AX21" s="138"/>
      <c r="AY21" s="138"/>
      <c r="BB21" s="138"/>
      <c r="BC21" s="138"/>
      <c r="BF21" s="138"/>
      <c r="BG21" s="138"/>
      <c r="BJ21" s="138"/>
      <c r="BK21" s="138"/>
      <c r="BN21" s="138"/>
      <c r="BO21" s="138"/>
      <c r="BR21" s="138"/>
      <c r="BS21" s="138"/>
      <c r="BV21" s="138"/>
      <c r="BW21" s="138"/>
      <c r="BZ21" s="138"/>
      <c r="CA21" s="138"/>
      <c r="CD21" s="138"/>
      <c r="CE21" s="138"/>
      <c r="CH21" s="138"/>
      <c r="CI21" s="138"/>
      <c r="CL21" s="138"/>
      <c r="CM21" s="138"/>
      <c r="CP21" s="138"/>
      <c r="CQ21" s="138"/>
      <c r="CT21" s="138"/>
      <c r="CU21" s="138"/>
      <c r="CX21" s="138"/>
      <c r="CY21" s="138"/>
      <c r="DB21" s="138"/>
      <c r="DC21" s="138"/>
      <c r="DF21" s="138"/>
      <c r="DG21" s="138"/>
      <c r="DJ21" s="138"/>
      <c r="DK21" s="138"/>
      <c r="DN21" s="138"/>
      <c r="DO21" s="138"/>
      <c r="DR21" s="138"/>
      <c r="DS21" s="138"/>
      <c r="DV21" s="138"/>
      <c r="DW21" s="138"/>
      <c r="DZ21" s="138"/>
      <c r="EA21" s="138"/>
      <c r="ED21" s="138"/>
      <c r="EE21" s="138"/>
      <c r="EH21" s="138"/>
      <c r="EI21" s="138"/>
      <c r="EL21" s="138"/>
      <c r="EM21" s="138"/>
      <c r="EP21" s="138"/>
      <c r="EQ21" s="138"/>
      <c r="ET21" s="138"/>
      <c r="EU21" s="138"/>
      <c r="EX21" s="138"/>
      <c r="EY21" s="138"/>
      <c r="FB21" s="138"/>
      <c r="FC21" s="138"/>
      <c r="FF21" s="138"/>
      <c r="FG21" s="138"/>
      <c r="FJ21" s="138"/>
      <c r="FK21" s="138"/>
      <c r="FN21" s="138"/>
      <c r="FO21" s="138"/>
      <c r="FR21" s="138"/>
      <c r="FS21" s="138"/>
      <c r="FV21" s="138"/>
      <c r="FW21" s="138"/>
      <c r="FZ21" s="138"/>
      <c r="GA21" s="138"/>
      <c r="GD21" s="138"/>
      <c r="GE21" s="138"/>
      <c r="GH21" s="138"/>
      <c r="GI21" s="138"/>
      <c r="GL21" s="138"/>
      <c r="GM21" s="138"/>
      <c r="GP21" s="138"/>
      <c r="GQ21" s="138"/>
      <c r="GT21" s="138"/>
      <c r="GU21" s="138"/>
      <c r="GX21" s="138"/>
      <c r="GY21" s="138"/>
      <c r="HB21" s="138"/>
      <c r="HC21" s="138"/>
      <c r="HF21" s="138"/>
      <c r="HG21" s="138"/>
      <c r="HJ21" s="138"/>
      <c r="HK21" s="138"/>
      <c r="HN21" s="138"/>
      <c r="HO21" s="138"/>
      <c r="HR21" s="138"/>
      <c r="HS21" s="138"/>
      <c r="HV21" s="138"/>
      <c r="HW21" s="138"/>
      <c r="HZ21" s="138"/>
      <c r="IA21" s="138"/>
      <c r="ID21" s="138"/>
      <c r="IE21" s="138"/>
      <c r="IH21" s="138"/>
      <c r="II21" s="138"/>
      <c r="IL21" s="138"/>
      <c r="IM21" s="138"/>
      <c r="IP21" s="138"/>
      <c r="IQ21" s="138"/>
      <c r="IT21" s="138"/>
      <c r="IU21" s="138"/>
    </row>
    <row r="22" spans="2:255" ht="12.75">
      <c r="B22" s="116" t="s">
        <v>507</v>
      </c>
      <c r="C22" s="65"/>
      <c r="F22" s="116"/>
      <c r="G22" s="65"/>
      <c r="J22" s="116"/>
      <c r="K22" s="65"/>
      <c r="N22" s="116"/>
      <c r="O22" s="65"/>
      <c r="R22" s="116"/>
      <c r="S22" s="65"/>
      <c r="V22" s="116"/>
      <c r="W22" s="65"/>
      <c r="Z22" s="116"/>
      <c r="AA22" s="65"/>
      <c r="AD22" s="116"/>
      <c r="AE22" s="65"/>
      <c r="AH22" s="116"/>
      <c r="AI22" s="65"/>
      <c r="AL22" s="116"/>
      <c r="AM22" s="65"/>
      <c r="AP22" s="116"/>
      <c r="AQ22" s="65"/>
      <c r="AT22" s="116"/>
      <c r="AU22" s="65"/>
      <c r="AX22" s="116"/>
      <c r="AY22" s="65"/>
      <c r="BB22" s="116"/>
      <c r="BC22" s="65"/>
      <c r="BF22" s="116"/>
      <c r="BG22" s="65"/>
      <c r="BJ22" s="116"/>
      <c r="BK22" s="65"/>
      <c r="BN22" s="116"/>
      <c r="BO22" s="65"/>
      <c r="BR22" s="116"/>
      <c r="BS22" s="65"/>
      <c r="BV22" s="116"/>
      <c r="BW22" s="65"/>
      <c r="BZ22" s="116"/>
      <c r="CA22" s="65"/>
      <c r="CD22" s="116"/>
      <c r="CE22" s="65"/>
      <c r="CH22" s="116"/>
      <c r="CI22" s="65"/>
      <c r="CL22" s="116"/>
      <c r="CM22" s="65"/>
      <c r="CP22" s="116"/>
      <c r="CQ22" s="65"/>
      <c r="CT22" s="116"/>
      <c r="CU22" s="65"/>
      <c r="CX22" s="116"/>
      <c r="CY22" s="65"/>
      <c r="DB22" s="116"/>
      <c r="DC22" s="65"/>
      <c r="DF22" s="116"/>
      <c r="DG22" s="65"/>
      <c r="DJ22" s="116"/>
      <c r="DK22" s="65"/>
      <c r="DN22" s="116"/>
      <c r="DO22" s="65"/>
      <c r="DR22" s="116"/>
      <c r="DS22" s="65"/>
      <c r="DV22" s="116"/>
      <c r="DW22" s="65"/>
      <c r="DZ22" s="116"/>
      <c r="EA22" s="65"/>
      <c r="ED22" s="116"/>
      <c r="EE22" s="65"/>
      <c r="EH22" s="116"/>
      <c r="EI22" s="65"/>
      <c r="EL22" s="116"/>
      <c r="EM22" s="65"/>
      <c r="EP22" s="116"/>
      <c r="EQ22" s="65"/>
      <c r="ET22" s="116"/>
      <c r="EU22" s="65"/>
      <c r="EX22" s="116"/>
      <c r="EY22" s="65"/>
      <c r="FB22" s="116"/>
      <c r="FC22" s="65"/>
      <c r="FF22" s="116"/>
      <c r="FG22" s="65"/>
      <c r="FJ22" s="116"/>
      <c r="FK22" s="65"/>
      <c r="FN22" s="116"/>
      <c r="FO22" s="65"/>
      <c r="FR22" s="116"/>
      <c r="FS22" s="65"/>
      <c r="FV22" s="116"/>
      <c r="FW22" s="65"/>
      <c r="FZ22" s="116"/>
      <c r="GA22" s="65"/>
      <c r="GD22" s="116"/>
      <c r="GE22" s="65"/>
      <c r="GH22" s="116"/>
      <c r="GI22" s="65"/>
      <c r="GL22" s="116"/>
      <c r="GM22" s="65"/>
      <c r="GP22" s="116"/>
      <c r="GQ22" s="65"/>
      <c r="GT22" s="116"/>
      <c r="GU22" s="65"/>
      <c r="GX22" s="116"/>
      <c r="GY22" s="65"/>
      <c r="HB22" s="116"/>
      <c r="HC22" s="65"/>
      <c r="HF22" s="116"/>
      <c r="HG22" s="65"/>
      <c r="HJ22" s="116"/>
      <c r="HK22" s="65"/>
      <c r="HN22" s="116"/>
      <c r="HO22" s="65"/>
      <c r="HR22" s="116"/>
      <c r="HS22" s="65"/>
      <c r="HV22" s="116"/>
      <c r="HW22" s="65"/>
      <c r="HZ22" s="116"/>
      <c r="IA22" s="65"/>
      <c r="ID22" s="116"/>
      <c r="IE22" s="65"/>
      <c r="IH22" s="116"/>
      <c r="II22" s="65"/>
      <c r="IL22" s="116"/>
      <c r="IM22" s="65"/>
      <c r="IP22" s="116"/>
      <c r="IQ22" s="65"/>
      <c r="IT22" s="116"/>
      <c r="IU22" s="65"/>
    </row>
    <row r="24" ht="18.75">
      <c r="A24" s="1" t="s">
        <v>167</v>
      </c>
    </row>
    <row r="26" ht="12.75">
      <c r="B26" t="s">
        <v>399</v>
      </c>
    </row>
    <row r="27" ht="12.75">
      <c r="B27" t="s">
        <v>400</v>
      </c>
    </row>
    <row r="28" ht="12.75">
      <c r="B28" t="s">
        <v>401</v>
      </c>
    </row>
    <row r="29" ht="12.75">
      <c r="B29" t="s">
        <v>402</v>
      </c>
    </row>
    <row r="30" ht="12.75">
      <c r="B30" t="s">
        <v>403</v>
      </c>
    </row>
    <row r="31" ht="12.75">
      <c r="B31" t="s">
        <v>404</v>
      </c>
    </row>
    <row r="32" ht="12.75">
      <c r="B32" t="s">
        <v>405</v>
      </c>
    </row>
    <row r="33" ht="12.75">
      <c r="B33" t="s">
        <v>406</v>
      </c>
    </row>
    <row r="34" ht="12.75">
      <c r="B34" t="s">
        <v>407</v>
      </c>
    </row>
    <row r="35" ht="18.75">
      <c r="A35" s="1" t="s">
        <v>168</v>
      </c>
    </row>
    <row r="37" ht="12.75">
      <c r="B37" s="102" t="s">
        <v>169</v>
      </c>
    </row>
    <row r="38" ht="12.75">
      <c r="B38" s="102" t="s">
        <v>388</v>
      </c>
    </row>
    <row r="39" ht="12.75">
      <c r="B39" s="102" t="s">
        <v>389</v>
      </c>
    </row>
    <row r="40" ht="12.75">
      <c r="B40" s="102" t="s">
        <v>170</v>
      </c>
    </row>
    <row r="41" ht="12.75">
      <c r="B41" s="102" t="s">
        <v>171</v>
      </c>
    </row>
    <row r="42" ht="12.75">
      <c r="B42" s="102" t="s">
        <v>390</v>
      </c>
    </row>
    <row r="43" ht="12.75">
      <c r="B43" s="102" t="s">
        <v>172</v>
      </c>
    </row>
    <row r="44" ht="12.75">
      <c r="B44" s="102" t="s">
        <v>173</v>
      </c>
    </row>
    <row r="45" ht="12.75">
      <c r="B45" s="102" t="s">
        <v>174</v>
      </c>
    </row>
    <row r="46" ht="12.75">
      <c r="B46" s="102" t="s">
        <v>391</v>
      </c>
    </row>
    <row r="47" ht="12.75">
      <c r="B47" s="102" t="s">
        <v>175</v>
      </c>
    </row>
    <row r="48" ht="12.75">
      <c r="B48" s="102" t="s">
        <v>387</v>
      </c>
    </row>
    <row r="49" ht="12.75">
      <c r="B49" s="102" t="s">
        <v>313</v>
      </c>
    </row>
    <row r="50" ht="12.75">
      <c r="B50" s="102" t="s">
        <v>314</v>
      </c>
    </row>
    <row r="51" ht="12.75">
      <c r="B51" s="102" t="s">
        <v>315</v>
      </c>
    </row>
    <row r="52" ht="12.75">
      <c r="B52" s="102" t="s">
        <v>316</v>
      </c>
    </row>
    <row r="54" ht="18.75">
      <c r="A54" s="1" t="s">
        <v>176</v>
      </c>
    </row>
    <row r="56" ht="12.75">
      <c r="B56" s="103" t="s">
        <v>392</v>
      </c>
    </row>
    <row r="57" ht="12.75">
      <c r="B57" s="103" t="s">
        <v>317</v>
      </c>
    </row>
    <row r="58" ht="12.75">
      <c r="B58" s="103" t="s">
        <v>177</v>
      </c>
    </row>
    <row r="59" ht="12.75">
      <c r="B59" s="103" t="s">
        <v>178</v>
      </c>
    </row>
    <row r="60" ht="12.75">
      <c r="B60" s="103" t="s">
        <v>179</v>
      </c>
    </row>
    <row r="61" ht="12.75">
      <c r="B61" s="103" t="s">
        <v>318</v>
      </c>
    </row>
    <row r="62" ht="12.75">
      <c r="B62" s="103" t="s">
        <v>319</v>
      </c>
    </row>
    <row r="63" ht="12.75">
      <c r="B63" s="103" t="s">
        <v>320</v>
      </c>
    </row>
    <row r="64" ht="15.75">
      <c r="B64" s="86"/>
    </row>
    <row r="65" ht="18.75">
      <c r="A65" s="1" t="s">
        <v>321</v>
      </c>
    </row>
    <row r="67" ht="12.75">
      <c r="B67" s="27" t="s">
        <v>322</v>
      </c>
    </row>
    <row r="68" ht="12.75">
      <c r="B68" s="27" t="s">
        <v>180</v>
      </c>
    </row>
    <row r="69" ht="12.75">
      <c r="B69" s="27" t="s">
        <v>323</v>
      </c>
    </row>
    <row r="70" ht="12.75">
      <c r="B70" s="27" t="s">
        <v>324</v>
      </c>
    </row>
    <row r="71" ht="12.75">
      <c r="B71" s="27" t="s">
        <v>181</v>
      </c>
    </row>
    <row r="72" ht="12.75">
      <c r="B72" s="27" t="s">
        <v>325</v>
      </c>
    </row>
    <row r="73" ht="12.75">
      <c r="B73" s="27" t="s">
        <v>326</v>
      </c>
    </row>
    <row r="76" ht="18.75">
      <c r="A76" s="1" t="s">
        <v>182</v>
      </c>
    </row>
    <row r="78" ht="12.75">
      <c r="B78" s="27" t="s">
        <v>332</v>
      </c>
    </row>
    <row r="79" ht="12.75">
      <c r="B79" s="27" t="s">
        <v>333</v>
      </c>
    </row>
    <row r="80" ht="12.75">
      <c r="B80" s="27" t="s">
        <v>334</v>
      </c>
    </row>
    <row r="81" ht="12.75">
      <c r="B81" s="27" t="s">
        <v>335</v>
      </c>
    </row>
    <row r="82" ht="12.75">
      <c r="B82" s="27" t="s">
        <v>336</v>
      </c>
    </row>
    <row r="83" ht="12.75">
      <c r="B83" s="27" t="s">
        <v>327</v>
      </c>
    </row>
    <row r="84" ht="12.75">
      <c r="B84" s="27" t="s">
        <v>183</v>
      </c>
    </row>
    <row r="85" ht="12.75">
      <c r="B85" s="27" t="s">
        <v>329</v>
      </c>
    </row>
    <row r="86" ht="12.75">
      <c r="B86" s="27" t="s">
        <v>328</v>
      </c>
    </row>
    <row r="87" ht="12.75">
      <c r="B87" s="27" t="s">
        <v>330</v>
      </c>
    </row>
    <row r="88" ht="12.75">
      <c r="B88" s="27" t="s">
        <v>331</v>
      </c>
    </row>
    <row r="89" ht="12.75">
      <c r="B89" s="27"/>
    </row>
    <row r="90" ht="12.75">
      <c r="B90" s="27"/>
    </row>
    <row r="92" ht="18.75">
      <c r="A92" s="87" t="s">
        <v>337</v>
      </c>
    </row>
    <row r="94" ht="12.75">
      <c r="B94" s="89" t="s">
        <v>184</v>
      </c>
    </row>
    <row r="95" ht="12.75">
      <c r="B95" s="89" t="s">
        <v>185</v>
      </c>
    </row>
    <row r="96" ht="12.75">
      <c r="B96" s="89" t="s">
        <v>186</v>
      </c>
    </row>
    <row r="97" ht="12.75">
      <c r="B97" s="89" t="s">
        <v>187</v>
      </c>
    </row>
    <row r="98" ht="12.75">
      <c r="B98" s="89" t="s">
        <v>338</v>
      </c>
    </row>
    <row r="99" ht="12.75">
      <c r="B99" s="89" t="s">
        <v>188</v>
      </c>
    </row>
    <row r="100" ht="12.75">
      <c r="B100" s="89" t="s">
        <v>189</v>
      </c>
    </row>
    <row r="101" ht="12.75">
      <c r="B101" s="89" t="s">
        <v>190</v>
      </c>
    </row>
    <row r="102" ht="12.75">
      <c r="B102" s="89" t="s">
        <v>339</v>
      </c>
    </row>
    <row r="105" ht="18.75">
      <c r="A105" s="87" t="s">
        <v>380</v>
      </c>
    </row>
    <row r="107" ht="12.75">
      <c r="B107" t="s">
        <v>340</v>
      </c>
    </row>
    <row r="108" ht="12.75">
      <c r="B108" t="s">
        <v>341</v>
      </c>
    </row>
    <row r="109" ht="12.75">
      <c r="B109" t="s">
        <v>342</v>
      </c>
    </row>
    <row r="110" ht="12.75">
      <c r="B110" t="s">
        <v>343</v>
      </c>
    </row>
    <row r="111" ht="12.75">
      <c r="B111" t="s">
        <v>191</v>
      </c>
    </row>
    <row r="112" ht="12.75">
      <c r="B112" t="s">
        <v>344</v>
      </c>
    </row>
    <row r="113" ht="12.75">
      <c r="B113" t="s">
        <v>345</v>
      </c>
    </row>
    <row r="116" ht="18.75">
      <c r="A116" s="87" t="s">
        <v>346</v>
      </c>
    </row>
    <row r="118" ht="12.75">
      <c r="B118" s="104" t="s">
        <v>192</v>
      </c>
    </row>
    <row r="119" ht="12.75">
      <c r="B119" s="104" t="s">
        <v>193</v>
      </c>
    </row>
    <row r="120" ht="12.75">
      <c r="B120" s="104" t="s">
        <v>408</v>
      </c>
    </row>
    <row r="121" ht="12.75">
      <c r="B121" s="104" t="s">
        <v>347</v>
      </c>
    </row>
    <row r="122" ht="12.75">
      <c r="B122" s="104" t="s">
        <v>348</v>
      </c>
    </row>
    <row r="123" ht="12.75">
      <c r="B123" s="104" t="s">
        <v>349</v>
      </c>
    </row>
    <row r="124" ht="12.75">
      <c r="B124" s="104" t="s">
        <v>409</v>
      </c>
    </row>
    <row r="125" ht="12.75">
      <c r="B125" s="97"/>
    </row>
    <row r="126" ht="18.75">
      <c r="A126" s="87" t="s">
        <v>350</v>
      </c>
    </row>
    <row r="127" ht="12.75">
      <c r="A127" s="27"/>
    </row>
    <row r="128" spans="1:2" ht="12.75">
      <c r="A128" s="27"/>
      <c r="B128" s="27" t="s">
        <v>194</v>
      </c>
    </row>
    <row r="129" spans="1:2" ht="12.75">
      <c r="A129" s="27"/>
      <c r="B129" s="27" t="s">
        <v>195</v>
      </c>
    </row>
    <row r="130" spans="1:4" ht="12.75">
      <c r="A130" s="27"/>
      <c r="B130" s="27" t="s">
        <v>196</v>
      </c>
      <c r="D130" s="27" t="s">
        <v>351</v>
      </c>
    </row>
    <row r="131" spans="1:4" ht="12.75">
      <c r="A131" s="27"/>
      <c r="D131" s="27" t="s">
        <v>352</v>
      </c>
    </row>
    <row r="132" spans="1:4" ht="12.75">
      <c r="A132" s="27"/>
      <c r="D132" s="27" t="s">
        <v>353</v>
      </c>
    </row>
    <row r="133" spans="1:2" ht="12.75">
      <c r="A133" s="27"/>
      <c r="B133" s="27" t="s">
        <v>354</v>
      </c>
    </row>
    <row r="134" spans="1:2" ht="12.75">
      <c r="A134" s="27"/>
      <c r="B134" s="27" t="s">
        <v>355</v>
      </c>
    </row>
    <row r="135" spans="1:2" ht="12.75">
      <c r="A135" s="27"/>
      <c r="B135" s="27" t="s">
        <v>197</v>
      </c>
    </row>
    <row r="136" spans="1:2" ht="12.75">
      <c r="A136" s="27"/>
      <c r="B136" s="27" t="s">
        <v>356</v>
      </c>
    </row>
    <row r="137" spans="1:2" ht="12.75">
      <c r="A137" s="27"/>
      <c r="B137" s="27" t="s">
        <v>357</v>
      </c>
    </row>
    <row r="138" spans="1:2" ht="12.75">
      <c r="A138" s="27"/>
      <c r="B138" s="27"/>
    </row>
    <row r="139" spans="1:2" ht="18.75">
      <c r="A139" s="87" t="s">
        <v>494</v>
      </c>
      <c r="B139" s="27"/>
    </row>
    <row r="140" spans="1:2" ht="12.75">
      <c r="A140" s="27"/>
      <c r="B140" s="27"/>
    </row>
    <row r="141" spans="1:2" ht="12.75">
      <c r="A141" s="27"/>
      <c r="B141" s="27" t="s">
        <v>495</v>
      </c>
    </row>
    <row r="142" spans="1:2" ht="12.75">
      <c r="A142" s="27"/>
      <c r="B142" s="27" t="s">
        <v>496</v>
      </c>
    </row>
    <row r="143" spans="1:2" ht="12.75">
      <c r="A143" s="27"/>
      <c r="B143" s="27"/>
    </row>
    <row r="144" spans="1:2" ht="18.75">
      <c r="A144" s="87" t="s">
        <v>480</v>
      </c>
      <c r="B144" s="27"/>
    </row>
    <row r="145" spans="1:2" ht="14.25" customHeight="1">
      <c r="A145" s="87"/>
      <c r="B145" s="27"/>
    </row>
    <row r="146" spans="1:3" ht="15.75" customHeight="1">
      <c r="A146" s="87"/>
      <c r="B146" s="139" t="s">
        <v>481</v>
      </c>
      <c r="C146" s="139"/>
    </row>
    <row r="147" spans="1:3" ht="13.5" customHeight="1">
      <c r="A147" s="87"/>
      <c r="B147" s="139" t="s">
        <v>482</v>
      </c>
      <c r="C147" s="139"/>
    </row>
    <row r="148" spans="1:3" ht="18.75">
      <c r="A148" s="87"/>
      <c r="B148" s="139" t="s">
        <v>483</v>
      </c>
      <c r="C148" s="139"/>
    </row>
    <row r="149" spans="1:3" ht="15.75" customHeight="1">
      <c r="A149" s="87"/>
      <c r="B149" s="139" t="s">
        <v>484</v>
      </c>
      <c r="C149" s="139"/>
    </row>
    <row r="150" spans="1:3" ht="15" customHeight="1">
      <c r="A150" s="87"/>
      <c r="B150" s="139" t="s">
        <v>491</v>
      </c>
      <c r="C150" s="139"/>
    </row>
    <row r="151" spans="1:3" ht="15" customHeight="1">
      <c r="A151" s="87"/>
      <c r="B151" s="139" t="s">
        <v>485</v>
      </c>
      <c r="C151" s="139"/>
    </row>
    <row r="152" spans="1:3" ht="18.75">
      <c r="A152" s="87"/>
      <c r="B152" s="117" t="s">
        <v>486</v>
      </c>
      <c r="C152" s="97"/>
    </row>
    <row r="153" spans="1:3" ht="18.75">
      <c r="A153" s="87"/>
      <c r="B153" s="117" t="s">
        <v>487</v>
      </c>
      <c r="C153" s="97"/>
    </row>
    <row r="154" spans="1:3" ht="12.75">
      <c r="A154" s="27"/>
      <c r="B154" s="139" t="s">
        <v>492</v>
      </c>
      <c r="C154" s="139"/>
    </row>
    <row r="155" spans="1:3" ht="12.75">
      <c r="A155" s="27"/>
      <c r="B155" s="139" t="s">
        <v>488</v>
      </c>
      <c r="C155" s="139"/>
    </row>
    <row r="156" spans="1:12" ht="15">
      <c r="A156" s="27"/>
      <c r="B156" s="139" t="s">
        <v>490</v>
      </c>
      <c r="C156" s="139"/>
      <c r="K156" s="140"/>
      <c r="L156" s="140"/>
    </row>
    <row r="157" spans="1:12" ht="15">
      <c r="A157" s="27"/>
      <c r="B157" s="117" t="s">
        <v>489</v>
      </c>
      <c r="C157" s="97"/>
      <c r="K157" s="140"/>
      <c r="L157" s="140"/>
    </row>
    <row r="158" spans="1:12" ht="18.75">
      <c r="A158" s="1" t="s">
        <v>198</v>
      </c>
      <c r="K158" s="140"/>
      <c r="L158" s="140"/>
    </row>
    <row r="159" spans="11:12" ht="15">
      <c r="K159" s="140"/>
      <c r="L159" s="140"/>
    </row>
    <row r="160" spans="2:12" ht="12.75">
      <c r="B160" s="97" t="s">
        <v>535</v>
      </c>
      <c r="K160" s="116"/>
      <c r="L160" s="65"/>
    </row>
    <row r="161" spans="2:12" ht="12.75">
      <c r="B161" s="105" t="s">
        <v>536</v>
      </c>
      <c r="K161" s="116"/>
      <c r="L161" s="65"/>
    </row>
    <row r="162" spans="2:12" ht="12.75">
      <c r="B162" s="105" t="s">
        <v>537</v>
      </c>
      <c r="K162" s="65"/>
      <c r="L162" s="65"/>
    </row>
    <row r="163" spans="2:12" ht="12.75">
      <c r="B163" s="105" t="s">
        <v>538</v>
      </c>
      <c r="K163" s="138"/>
      <c r="L163" s="138"/>
    </row>
    <row r="164" spans="2:12" ht="12.75">
      <c r="B164" s="105" t="s">
        <v>539</v>
      </c>
      <c r="K164" s="65"/>
      <c r="L164" s="65"/>
    </row>
    <row r="165" spans="2:12" ht="12.75">
      <c r="B165" s="105" t="s">
        <v>540</v>
      </c>
      <c r="K165" s="138"/>
      <c r="L165" s="138"/>
    </row>
    <row r="166" spans="2:12" ht="12.75">
      <c r="B166" s="105" t="s">
        <v>541</v>
      </c>
      <c r="K166" s="138"/>
      <c r="L166" s="138"/>
    </row>
    <row r="167" spans="2:12" ht="12.75">
      <c r="B167" s="105" t="s">
        <v>542</v>
      </c>
      <c r="K167" s="116"/>
      <c r="L167" s="65"/>
    </row>
    <row r="168" ht="12.75">
      <c r="B168" s="105" t="s">
        <v>358</v>
      </c>
    </row>
    <row r="169" ht="12.75">
      <c r="B169" s="105" t="s">
        <v>199</v>
      </c>
    </row>
    <row r="170" ht="12.75">
      <c r="B170" s="105" t="s">
        <v>362</v>
      </c>
    </row>
    <row r="171" ht="12.75">
      <c r="B171" s="105" t="s">
        <v>363</v>
      </c>
    </row>
    <row r="172" ht="12.75">
      <c r="B172" s="105" t="s">
        <v>364</v>
      </c>
    </row>
    <row r="173" ht="12.75">
      <c r="B173" s="105" t="s">
        <v>365</v>
      </c>
    </row>
    <row r="174" ht="12.75">
      <c r="B174" s="105" t="s">
        <v>359</v>
      </c>
    </row>
    <row r="175" ht="12.75">
      <c r="B175" s="105" t="s">
        <v>366</v>
      </c>
    </row>
    <row r="176" ht="12.75">
      <c r="B176" s="105" t="s">
        <v>367</v>
      </c>
    </row>
    <row r="177" ht="12.75">
      <c r="B177" s="105" t="s">
        <v>368</v>
      </c>
    </row>
    <row r="178" ht="12.75">
      <c r="B178" s="105" t="s">
        <v>369</v>
      </c>
    </row>
    <row r="179" ht="12.75">
      <c r="B179" s="105" t="s">
        <v>370</v>
      </c>
    </row>
    <row r="180" ht="12.75">
      <c r="B180" s="105" t="s">
        <v>360</v>
      </c>
    </row>
    <row r="181" ht="12.75">
      <c r="B181" s="105" t="s">
        <v>361</v>
      </c>
    </row>
  </sheetData>
  <sheetProtection/>
  <mergeCells count="400">
    <mergeCell ref="B154:C154"/>
    <mergeCell ref="B155:C155"/>
    <mergeCell ref="B156:C156"/>
    <mergeCell ref="B146:C146"/>
    <mergeCell ref="B147:C147"/>
    <mergeCell ref="B148:C148"/>
    <mergeCell ref="B149:C149"/>
    <mergeCell ref="B150:C150"/>
    <mergeCell ref="B151:C151"/>
    <mergeCell ref="K163:L163"/>
    <mergeCell ref="K165:L165"/>
    <mergeCell ref="K166:L166"/>
    <mergeCell ref="K156:L156"/>
    <mergeCell ref="K157:L157"/>
    <mergeCell ref="K158:L158"/>
    <mergeCell ref="K159:L159"/>
    <mergeCell ref="B15:C15"/>
    <mergeCell ref="F15:G15"/>
    <mergeCell ref="J15:K15"/>
    <mergeCell ref="N15:O15"/>
    <mergeCell ref="R15:S15"/>
    <mergeCell ref="V15:W15"/>
    <mergeCell ref="Z15:AA15"/>
    <mergeCell ref="AD15:AE15"/>
    <mergeCell ref="AH15:AI15"/>
    <mergeCell ref="AL15:AM15"/>
    <mergeCell ref="AP15:AQ15"/>
    <mergeCell ref="AT15:AU15"/>
    <mergeCell ref="AX15:AY15"/>
    <mergeCell ref="BB15:BC15"/>
    <mergeCell ref="BF15:BG15"/>
    <mergeCell ref="BJ15:BK15"/>
    <mergeCell ref="BN15:BO15"/>
    <mergeCell ref="BR15:BS15"/>
    <mergeCell ref="BV15:BW15"/>
    <mergeCell ref="BZ15:CA15"/>
    <mergeCell ref="CD15:CE15"/>
    <mergeCell ref="CH15:CI15"/>
    <mergeCell ref="CL15:CM15"/>
    <mergeCell ref="CP15:CQ15"/>
    <mergeCell ref="CT15:CU15"/>
    <mergeCell ref="CX15:CY15"/>
    <mergeCell ref="DB15:DC15"/>
    <mergeCell ref="DF15:DG15"/>
    <mergeCell ref="DJ15:DK15"/>
    <mergeCell ref="DN15:DO15"/>
    <mergeCell ref="DR15:DS15"/>
    <mergeCell ref="DV15:DW15"/>
    <mergeCell ref="DZ15:EA15"/>
    <mergeCell ref="ED15:EE15"/>
    <mergeCell ref="EH15:EI15"/>
    <mergeCell ref="EL15:EM15"/>
    <mergeCell ref="EP15:EQ15"/>
    <mergeCell ref="ET15:EU15"/>
    <mergeCell ref="EX15:EY15"/>
    <mergeCell ref="FB15:FC15"/>
    <mergeCell ref="FF15:FG15"/>
    <mergeCell ref="FJ15:FK15"/>
    <mergeCell ref="FN15:FO15"/>
    <mergeCell ref="FR15:FS15"/>
    <mergeCell ref="FV15:FW15"/>
    <mergeCell ref="FZ15:GA15"/>
    <mergeCell ref="GD15:GE15"/>
    <mergeCell ref="GH15:GI15"/>
    <mergeCell ref="GL15:GM15"/>
    <mergeCell ref="GP15:GQ15"/>
    <mergeCell ref="GT15:GU15"/>
    <mergeCell ref="GX15:GY15"/>
    <mergeCell ref="HB15:HC15"/>
    <mergeCell ref="HF15:HG15"/>
    <mergeCell ref="HJ15:HK15"/>
    <mergeCell ref="HN15:HO15"/>
    <mergeCell ref="HR15:HS15"/>
    <mergeCell ref="HV15:HW15"/>
    <mergeCell ref="HZ15:IA15"/>
    <mergeCell ref="ID15:IE15"/>
    <mergeCell ref="IH15:II15"/>
    <mergeCell ref="IL15:IM15"/>
    <mergeCell ref="IP15:IQ15"/>
    <mergeCell ref="IT15:IU15"/>
    <mergeCell ref="B16:D16"/>
    <mergeCell ref="F16:H16"/>
    <mergeCell ref="J16:L16"/>
    <mergeCell ref="N16:P16"/>
    <mergeCell ref="R16:T16"/>
    <mergeCell ref="V16:X16"/>
    <mergeCell ref="Z16:AB16"/>
    <mergeCell ref="AD16:AF16"/>
    <mergeCell ref="AH16:AJ16"/>
    <mergeCell ref="AL16:AN16"/>
    <mergeCell ref="AP16:AR16"/>
    <mergeCell ref="AT16:AV16"/>
    <mergeCell ref="AX16:AZ16"/>
    <mergeCell ref="BB16:BD16"/>
    <mergeCell ref="BF16:BH16"/>
    <mergeCell ref="BJ16:BL16"/>
    <mergeCell ref="BN16:BP16"/>
    <mergeCell ref="BR16:BT16"/>
    <mergeCell ref="BV16:BX16"/>
    <mergeCell ref="BZ16:CB16"/>
    <mergeCell ref="CD16:CF16"/>
    <mergeCell ref="CH16:CJ16"/>
    <mergeCell ref="CL16:CN16"/>
    <mergeCell ref="CP16:CR16"/>
    <mergeCell ref="CT16:CV16"/>
    <mergeCell ref="CX16:CZ16"/>
    <mergeCell ref="DB16:DD16"/>
    <mergeCell ref="DF16:DH16"/>
    <mergeCell ref="DJ16:DL16"/>
    <mergeCell ref="DN16:DP16"/>
    <mergeCell ref="DR16:DT16"/>
    <mergeCell ref="DV16:DX16"/>
    <mergeCell ref="DZ16:EB16"/>
    <mergeCell ref="ED16:EF16"/>
    <mergeCell ref="EH16:EJ16"/>
    <mergeCell ref="EL16:EN16"/>
    <mergeCell ref="EP16:ER16"/>
    <mergeCell ref="ET16:EV16"/>
    <mergeCell ref="EX16:EZ16"/>
    <mergeCell ref="FB16:FD16"/>
    <mergeCell ref="FF16:FH16"/>
    <mergeCell ref="FJ16:FL16"/>
    <mergeCell ref="FN16:FP16"/>
    <mergeCell ref="FR16:FT16"/>
    <mergeCell ref="FV16:FX16"/>
    <mergeCell ref="FZ16:GB16"/>
    <mergeCell ref="GD16:GF16"/>
    <mergeCell ref="GH16:GJ16"/>
    <mergeCell ref="GL16:GN16"/>
    <mergeCell ref="GP16:GR16"/>
    <mergeCell ref="GT16:GV16"/>
    <mergeCell ref="GX16:GZ16"/>
    <mergeCell ref="HB16:HD16"/>
    <mergeCell ref="HF16:HH16"/>
    <mergeCell ref="HJ16:HL16"/>
    <mergeCell ref="HN16:HP16"/>
    <mergeCell ref="HR16:HT16"/>
    <mergeCell ref="HV16:HX16"/>
    <mergeCell ref="HZ16:IB16"/>
    <mergeCell ref="ID16:IF16"/>
    <mergeCell ref="IH16:IJ16"/>
    <mergeCell ref="IL16:IN16"/>
    <mergeCell ref="IP16:IR16"/>
    <mergeCell ref="IT16:IV16"/>
    <mergeCell ref="B17:C17"/>
    <mergeCell ref="F17:G17"/>
    <mergeCell ref="J17:K17"/>
    <mergeCell ref="N17:O17"/>
    <mergeCell ref="R17:S17"/>
    <mergeCell ref="V17:W17"/>
    <mergeCell ref="Z17:AA17"/>
    <mergeCell ref="AD17:AE17"/>
    <mergeCell ref="AH17:AI17"/>
    <mergeCell ref="AL17:AM17"/>
    <mergeCell ref="AP17:AQ17"/>
    <mergeCell ref="AT17:AU17"/>
    <mergeCell ref="AX17:AY17"/>
    <mergeCell ref="BB17:BC17"/>
    <mergeCell ref="BF17:BG17"/>
    <mergeCell ref="BJ17:BK17"/>
    <mergeCell ref="BN17:BO17"/>
    <mergeCell ref="BR17:BS17"/>
    <mergeCell ref="BV17:BW17"/>
    <mergeCell ref="BZ17:CA17"/>
    <mergeCell ref="CD17:CE17"/>
    <mergeCell ref="CH17:CI17"/>
    <mergeCell ref="CL17:CM17"/>
    <mergeCell ref="CP17:CQ17"/>
    <mergeCell ref="CT17:CU17"/>
    <mergeCell ref="CX17:CY17"/>
    <mergeCell ref="DB17:DC17"/>
    <mergeCell ref="DF17:DG17"/>
    <mergeCell ref="DJ17:DK17"/>
    <mergeCell ref="DN17:DO17"/>
    <mergeCell ref="DR17:DS17"/>
    <mergeCell ref="DV17:DW17"/>
    <mergeCell ref="DZ17:EA17"/>
    <mergeCell ref="ED17:EE17"/>
    <mergeCell ref="EH17:EI17"/>
    <mergeCell ref="EL17:EM17"/>
    <mergeCell ref="EP17:EQ17"/>
    <mergeCell ref="ET17:EU17"/>
    <mergeCell ref="EX17:EY17"/>
    <mergeCell ref="FB17:FC17"/>
    <mergeCell ref="FF17:FG17"/>
    <mergeCell ref="FJ17:FK17"/>
    <mergeCell ref="FN17:FO17"/>
    <mergeCell ref="FR17:FS17"/>
    <mergeCell ref="FV17:FW17"/>
    <mergeCell ref="FZ17:GA17"/>
    <mergeCell ref="GD17:GE17"/>
    <mergeCell ref="GH17:GI17"/>
    <mergeCell ref="GL17:GM17"/>
    <mergeCell ref="GP17:GQ17"/>
    <mergeCell ref="GT17:GU17"/>
    <mergeCell ref="GX17:GY17"/>
    <mergeCell ref="HB17:HC17"/>
    <mergeCell ref="HF17:HG17"/>
    <mergeCell ref="HJ17:HK17"/>
    <mergeCell ref="HN17:HO17"/>
    <mergeCell ref="HR17:HS17"/>
    <mergeCell ref="HV17:HW17"/>
    <mergeCell ref="HZ17:IA17"/>
    <mergeCell ref="ID17:IE17"/>
    <mergeCell ref="IH17:II17"/>
    <mergeCell ref="IL17:IM17"/>
    <mergeCell ref="IP17:IQ17"/>
    <mergeCell ref="IT17:IU17"/>
    <mergeCell ref="B18:C18"/>
    <mergeCell ref="F18:G18"/>
    <mergeCell ref="J18:K18"/>
    <mergeCell ref="N18:O18"/>
    <mergeCell ref="R18:S18"/>
    <mergeCell ref="V18:W18"/>
    <mergeCell ref="Z18:AA18"/>
    <mergeCell ref="AD18:AE18"/>
    <mergeCell ref="AH18:AI18"/>
    <mergeCell ref="AL18:AM18"/>
    <mergeCell ref="AP18:AQ18"/>
    <mergeCell ref="AT18:AU18"/>
    <mergeCell ref="AX18:AY18"/>
    <mergeCell ref="BB18:BC18"/>
    <mergeCell ref="BF18:BG18"/>
    <mergeCell ref="BJ18:BK18"/>
    <mergeCell ref="BN18:BO18"/>
    <mergeCell ref="BR18:BS18"/>
    <mergeCell ref="BV18:BW18"/>
    <mergeCell ref="BZ18:CA18"/>
    <mergeCell ref="CD18:CE18"/>
    <mergeCell ref="CH18:CI18"/>
    <mergeCell ref="CL18:CM18"/>
    <mergeCell ref="CP18:CQ18"/>
    <mergeCell ref="CT18:CU18"/>
    <mergeCell ref="CX18:CY18"/>
    <mergeCell ref="DB18:DC18"/>
    <mergeCell ref="DF18:DG18"/>
    <mergeCell ref="DJ18:DK18"/>
    <mergeCell ref="DN18:DO18"/>
    <mergeCell ref="DR18:DS18"/>
    <mergeCell ref="DV18:DW18"/>
    <mergeCell ref="DZ18:EA18"/>
    <mergeCell ref="ED18:EE18"/>
    <mergeCell ref="EH18:EI18"/>
    <mergeCell ref="EL18:EM18"/>
    <mergeCell ref="EP18:EQ18"/>
    <mergeCell ref="ET18:EU18"/>
    <mergeCell ref="EX18:EY18"/>
    <mergeCell ref="FB18:FC18"/>
    <mergeCell ref="FF18:FG18"/>
    <mergeCell ref="FJ18:FK18"/>
    <mergeCell ref="FN18:FO18"/>
    <mergeCell ref="FR18:FS18"/>
    <mergeCell ref="FV18:FW18"/>
    <mergeCell ref="FZ18:GA18"/>
    <mergeCell ref="GD18:GE18"/>
    <mergeCell ref="GH18:GI18"/>
    <mergeCell ref="GL18:GM18"/>
    <mergeCell ref="GP18:GQ18"/>
    <mergeCell ref="GT18:GU18"/>
    <mergeCell ref="GX18:GY18"/>
    <mergeCell ref="HB18:HC18"/>
    <mergeCell ref="HF18:HG18"/>
    <mergeCell ref="HJ18:HK18"/>
    <mergeCell ref="HN18:HO18"/>
    <mergeCell ref="HR18:HS18"/>
    <mergeCell ref="HV18:HW18"/>
    <mergeCell ref="HZ18:IA18"/>
    <mergeCell ref="ID18:IE18"/>
    <mergeCell ref="IH18:II18"/>
    <mergeCell ref="IL18:IM18"/>
    <mergeCell ref="IP18:IQ18"/>
    <mergeCell ref="IT18:IU18"/>
    <mergeCell ref="B20:C20"/>
    <mergeCell ref="F20:G20"/>
    <mergeCell ref="J20:K20"/>
    <mergeCell ref="N20:O20"/>
    <mergeCell ref="R20:S20"/>
    <mergeCell ref="V20:W20"/>
    <mergeCell ref="Z20:AA20"/>
    <mergeCell ref="AD20:AE20"/>
    <mergeCell ref="AH20:AI20"/>
    <mergeCell ref="AL20:AM20"/>
    <mergeCell ref="AP20:AQ20"/>
    <mergeCell ref="AT20:AU20"/>
    <mergeCell ref="AX20:AY20"/>
    <mergeCell ref="BB20:BC20"/>
    <mergeCell ref="BF20:BG20"/>
    <mergeCell ref="BJ20:BK20"/>
    <mergeCell ref="BN20:BO20"/>
    <mergeCell ref="BR20:BS20"/>
    <mergeCell ref="BV20:BW20"/>
    <mergeCell ref="BZ20:CA20"/>
    <mergeCell ref="CD20:CE20"/>
    <mergeCell ref="CH20:CI20"/>
    <mergeCell ref="CL20:CM20"/>
    <mergeCell ref="CP20:CQ20"/>
    <mergeCell ref="CT20:CU20"/>
    <mergeCell ref="CX20:CY20"/>
    <mergeCell ref="DB20:DC20"/>
    <mergeCell ref="DF20:DG20"/>
    <mergeCell ref="DJ20:DK20"/>
    <mergeCell ref="DN20:DO20"/>
    <mergeCell ref="DR20:DS20"/>
    <mergeCell ref="DV20:DW20"/>
    <mergeCell ref="DZ20:EA20"/>
    <mergeCell ref="ED20:EE20"/>
    <mergeCell ref="EH20:EI20"/>
    <mergeCell ref="EL20:EM20"/>
    <mergeCell ref="EP20:EQ20"/>
    <mergeCell ref="ET20:EU20"/>
    <mergeCell ref="EX20:EY20"/>
    <mergeCell ref="FB20:FC20"/>
    <mergeCell ref="FF20:FG20"/>
    <mergeCell ref="FJ20:FK20"/>
    <mergeCell ref="FN20:FO20"/>
    <mergeCell ref="FR20:FS20"/>
    <mergeCell ref="FV20:FW20"/>
    <mergeCell ref="FZ20:GA20"/>
    <mergeCell ref="GD20:GE20"/>
    <mergeCell ref="GH20:GI20"/>
    <mergeCell ref="GL20:GM20"/>
    <mergeCell ref="GP20:GQ20"/>
    <mergeCell ref="GT20:GU20"/>
    <mergeCell ref="GX20:GY20"/>
    <mergeCell ref="HB20:HC20"/>
    <mergeCell ref="HF20:HG20"/>
    <mergeCell ref="HJ20:HK20"/>
    <mergeCell ref="HN20:HO20"/>
    <mergeCell ref="HR20:HS20"/>
    <mergeCell ref="HV20:HW20"/>
    <mergeCell ref="HZ20:IA20"/>
    <mergeCell ref="ID20:IE20"/>
    <mergeCell ref="IH20:II20"/>
    <mergeCell ref="IL20:IM20"/>
    <mergeCell ref="IP20:IQ20"/>
    <mergeCell ref="IT20:IU20"/>
    <mergeCell ref="B21:C21"/>
    <mergeCell ref="F21:G21"/>
    <mergeCell ref="J21:K21"/>
    <mergeCell ref="N21:O21"/>
    <mergeCell ref="R21:S21"/>
    <mergeCell ref="V21:W21"/>
    <mergeCell ref="Z21:AA21"/>
    <mergeCell ref="AD21:AE21"/>
    <mergeCell ref="AH21:AI21"/>
    <mergeCell ref="AL21:AM21"/>
    <mergeCell ref="AP21:AQ21"/>
    <mergeCell ref="AT21:AU21"/>
    <mergeCell ref="AX21:AY21"/>
    <mergeCell ref="BB21:BC21"/>
    <mergeCell ref="BF21:BG21"/>
    <mergeCell ref="BJ21:BK21"/>
    <mergeCell ref="BN21:BO21"/>
    <mergeCell ref="BR21:BS21"/>
    <mergeCell ref="BV21:BW21"/>
    <mergeCell ref="BZ21:CA21"/>
    <mergeCell ref="CD21:CE21"/>
    <mergeCell ref="CH21:CI21"/>
    <mergeCell ref="CL21:CM21"/>
    <mergeCell ref="CP21:CQ21"/>
    <mergeCell ref="CT21:CU21"/>
    <mergeCell ref="CX21:CY21"/>
    <mergeCell ref="DB21:DC21"/>
    <mergeCell ref="DF21:DG21"/>
    <mergeCell ref="DJ21:DK21"/>
    <mergeCell ref="DN21:DO21"/>
    <mergeCell ref="DR21:DS21"/>
    <mergeCell ref="DV21:DW21"/>
    <mergeCell ref="DZ21:EA21"/>
    <mergeCell ref="ED21:EE21"/>
    <mergeCell ref="EH21:EI21"/>
    <mergeCell ref="EL21:EM21"/>
    <mergeCell ref="EP21:EQ21"/>
    <mergeCell ref="ET21:EU21"/>
    <mergeCell ref="EX21:EY21"/>
    <mergeCell ref="FB21:FC21"/>
    <mergeCell ref="FF21:FG21"/>
    <mergeCell ref="FJ21:FK21"/>
    <mergeCell ref="FN21:FO21"/>
    <mergeCell ref="FR21:FS21"/>
    <mergeCell ref="FV21:FW21"/>
    <mergeCell ref="FZ21:GA21"/>
    <mergeCell ref="GD21:GE21"/>
    <mergeCell ref="GH21:GI21"/>
    <mergeCell ref="GL21:GM21"/>
    <mergeCell ref="GP21:GQ21"/>
    <mergeCell ref="GT21:GU21"/>
    <mergeCell ref="GX21:GY21"/>
    <mergeCell ref="HB21:HC21"/>
    <mergeCell ref="HF21:HG21"/>
    <mergeCell ref="IH21:II21"/>
    <mergeCell ref="IL21:IM21"/>
    <mergeCell ref="IP21:IQ21"/>
    <mergeCell ref="IT21:IU21"/>
    <mergeCell ref="HJ21:HK21"/>
    <mergeCell ref="HN21:HO21"/>
    <mergeCell ref="HR21:HS21"/>
    <mergeCell ref="HV21:HW21"/>
    <mergeCell ref="HZ21:IA21"/>
    <mergeCell ref="ID21:IE2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IV16384"/>
    </sheetView>
  </sheetViews>
  <sheetFormatPr defaultColWidth="11.421875" defaultRowHeight="12.75"/>
  <sheetData>
    <row r="1" ht="23.25">
      <c r="A1" s="134" t="s">
        <v>546</v>
      </c>
    </row>
    <row r="2" ht="17.25">
      <c r="A2" s="135" t="s">
        <v>547</v>
      </c>
    </row>
    <row r="3" ht="14.25">
      <c r="A3" s="136" t="s">
        <v>548</v>
      </c>
    </row>
    <row r="4" ht="14.25">
      <c r="A4" s="136" t="s">
        <v>549</v>
      </c>
    </row>
    <row r="5" ht="14.25">
      <c r="A5" s="136" t="s">
        <v>550</v>
      </c>
    </row>
    <row r="6" ht="14.25">
      <c r="A6" s="136" t="s">
        <v>551</v>
      </c>
    </row>
    <row r="7" ht="14.25">
      <c r="A7" s="136" t="s">
        <v>552</v>
      </c>
    </row>
    <row r="8" ht="14.25">
      <c r="A8" s="136" t="s">
        <v>553</v>
      </c>
    </row>
    <row r="9" ht="14.25">
      <c r="A9" s="136" t="s">
        <v>554</v>
      </c>
    </row>
    <row r="10" ht="14.25">
      <c r="A10" s="136" t="s">
        <v>555</v>
      </c>
    </row>
    <row r="11" ht="14.25">
      <c r="A11" s="137" t="s">
        <v>556</v>
      </c>
    </row>
    <row r="12" ht="14.25">
      <c r="A12" s="136" t="s">
        <v>557</v>
      </c>
    </row>
    <row r="13" ht="14.25">
      <c r="A13" s="136" t="s">
        <v>558</v>
      </c>
    </row>
    <row r="14" ht="14.25">
      <c r="A14" s="136" t="s">
        <v>559</v>
      </c>
    </row>
    <row r="15" ht="14.25">
      <c r="A15" s="136" t="s">
        <v>560</v>
      </c>
    </row>
    <row r="16" ht="14.25">
      <c r="A16" s="136" t="s">
        <v>561</v>
      </c>
    </row>
    <row r="17" ht="14.25">
      <c r="A17" s="136" t="s">
        <v>562</v>
      </c>
    </row>
    <row r="18" ht="14.25">
      <c r="A18" s="136" t="s">
        <v>563</v>
      </c>
    </row>
    <row r="19" ht="14.25">
      <c r="A19" s="136" t="s">
        <v>564</v>
      </c>
    </row>
    <row r="20" ht="14.25">
      <c r="A20" s="136" t="s">
        <v>565</v>
      </c>
    </row>
    <row r="21" ht="14.25">
      <c r="A21" s="136" t="s">
        <v>566</v>
      </c>
    </row>
    <row r="22" ht="14.25">
      <c r="A22" s="136" t="s">
        <v>567</v>
      </c>
    </row>
    <row r="23" ht="14.25">
      <c r="A23" s="136" t="s">
        <v>568</v>
      </c>
    </row>
    <row r="24" ht="14.25">
      <c r="A24" s="136" t="s">
        <v>569</v>
      </c>
    </row>
    <row r="25" ht="14.25">
      <c r="A25" s="136" t="s">
        <v>570</v>
      </c>
    </row>
    <row r="26" ht="14.25">
      <c r="A26" s="136" t="s">
        <v>571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39"/>
  <sheetViews>
    <sheetView showGridLines="0" showZeros="0" zoomScalePageLayoutView="0" workbookViewId="0" topLeftCell="A1">
      <selection activeCell="B3" sqref="B3"/>
    </sheetView>
  </sheetViews>
  <sheetFormatPr defaultColWidth="11.421875" defaultRowHeight="12.75"/>
  <cols>
    <col min="1" max="1" width="7.7109375" style="0" customWidth="1"/>
    <col min="2" max="2" width="10.00390625" style="0" customWidth="1"/>
    <col min="5" max="5" width="10.28125" style="0" customWidth="1"/>
    <col min="6" max="6" width="11.421875" style="0" customWidth="1"/>
    <col min="7" max="7" width="20.140625" style="38" customWidth="1"/>
    <col min="8" max="8" width="9.421875" style="38" customWidth="1"/>
    <col min="9" max="9" width="18.28125" style="39" customWidth="1"/>
  </cols>
  <sheetData>
    <row r="1" spans="1:11" ht="33">
      <c r="A1" s="40" t="s">
        <v>38</v>
      </c>
      <c r="J1" s="110" t="s">
        <v>447</v>
      </c>
      <c r="K1" s="110"/>
    </row>
    <row r="3" spans="1:2" ht="18.75">
      <c r="A3" t="s">
        <v>39</v>
      </c>
      <c r="B3" s="119"/>
    </row>
    <row r="4" spans="1:2" ht="18.75">
      <c r="A4" t="s">
        <v>40</v>
      </c>
      <c r="B4" s="88"/>
    </row>
    <row r="5" spans="1:2" ht="18.75">
      <c r="A5" t="s">
        <v>238</v>
      </c>
      <c r="B5" s="88"/>
    </row>
    <row r="6" spans="1:7" ht="18.75">
      <c r="A6" t="s">
        <v>41</v>
      </c>
      <c r="B6" s="88"/>
      <c r="E6" t="s">
        <v>240</v>
      </c>
      <c r="G6" s="91"/>
    </row>
    <row r="7" spans="1:7" ht="18.75">
      <c r="A7" t="s">
        <v>42</v>
      </c>
      <c r="B7" s="120"/>
      <c r="E7" t="s">
        <v>43</v>
      </c>
      <c r="G7" s="131">
        <f ca="1">TODAY()</f>
        <v>45071</v>
      </c>
    </row>
    <row r="8" spans="1:9" ht="20.25">
      <c r="A8" t="s">
        <v>239</v>
      </c>
      <c r="B8" s="90"/>
      <c r="E8" t="s">
        <v>7</v>
      </c>
      <c r="G8" s="41">
        <f>Information!D18</f>
        <v>0.6458333333333334</v>
      </c>
      <c r="I8" s="42"/>
    </row>
    <row r="9" spans="5:7" ht="18.75">
      <c r="E9" t="s">
        <v>44</v>
      </c>
      <c r="G9" s="41">
        <f>G8+((Cocktail!B20+'Repas chaud'!B99+'Echoppes et buffets'!B31+Soirée!B37)/24)</f>
        <v>1.1666666666666667</v>
      </c>
    </row>
    <row r="10" spans="1:10" ht="18.75">
      <c r="A10" s="27"/>
      <c r="E10" t="s">
        <v>45</v>
      </c>
      <c r="G10" s="43">
        <f>(Accueil!E1+Cocktail!H1+'Repas chaud'!F1+'Echoppes et buffets'!G1+Soirée!G1+Mobilier!G1)</f>
        <v>0</v>
      </c>
      <c r="I10" s="129" t="s">
        <v>530</v>
      </c>
      <c r="J10" s="25" t="s">
        <v>531</v>
      </c>
    </row>
    <row r="11" spans="1:10" ht="12.75">
      <c r="A11" s="27"/>
      <c r="G11" s="100">
        <f>G10-G12</f>
        <v>0</v>
      </c>
      <c r="H11" t="s">
        <v>522</v>
      </c>
      <c r="I11" s="100">
        <f>G11*0.12</f>
        <v>0</v>
      </c>
      <c r="J11" s="130">
        <f>I11+I12</f>
        <v>0</v>
      </c>
    </row>
    <row r="12" spans="2:10" ht="12.75">
      <c r="B12" s="44"/>
      <c r="C12" s="4"/>
      <c r="D12" s="45" t="s">
        <v>46</v>
      </c>
      <c r="E12" s="45" t="s">
        <v>47</v>
      </c>
      <c r="F12" s="46" t="s">
        <v>48</v>
      </c>
      <c r="G12" s="100">
        <f>Cocktail!I16+Cocktail!I17+'Repas chaud'!H105+'Repas chaud'!H106+'Echoppes et buffets'!H37+'Echoppes et buffets'!H38+Soirée!I11+Soirée!I12+Soirée!I13+Soirée!I15+Soirée!I16</f>
        <v>0</v>
      </c>
      <c r="H12" s="125" t="s">
        <v>523</v>
      </c>
      <c r="I12" s="100">
        <f>G12*0.21</f>
        <v>0</v>
      </c>
      <c r="J12" s="97"/>
    </row>
    <row r="13" spans="2:8" ht="18.75">
      <c r="B13" s="6" t="s">
        <v>217</v>
      </c>
      <c r="C13" s="7"/>
      <c r="D13" s="47">
        <f>Information!D8</f>
        <v>0</v>
      </c>
      <c r="E13" s="47">
        <f>Information!D9</f>
        <v>0</v>
      </c>
      <c r="F13" s="48">
        <f>Information!D11</f>
        <v>0</v>
      </c>
      <c r="G13" s="39">
        <f>G10+I11+I12</f>
        <v>0</v>
      </c>
      <c r="H13" t="s">
        <v>524</v>
      </c>
    </row>
    <row r="14" spans="2:8" ht="18.75">
      <c r="B14" s="6" t="s">
        <v>513</v>
      </c>
      <c r="C14" s="7"/>
      <c r="D14" s="47">
        <f>Information!E8</f>
        <v>0</v>
      </c>
      <c r="E14" s="49">
        <f>Information!E9</f>
        <v>0</v>
      </c>
      <c r="F14" s="50">
        <f>Information!E11</f>
        <v>0</v>
      </c>
      <c r="G14" s="39"/>
      <c r="H14"/>
    </row>
    <row r="15" spans="2:8" ht="18.75">
      <c r="B15" s="10" t="s">
        <v>514</v>
      </c>
      <c r="C15" s="11"/>
      <c r="D15" s="51">
        <f>Information!F8</f>
        <v>0</v>
      </c>
      <c r="E15" s="52">
        <f>Information!F9</f>
        <v>0</v>
      </c>
      <c r="F15" s="53">
        <f>Information!F11</f>
        <v>0</v>
      </c>
      <c r="G15" s="39"/>
      <c r="H15"/>
    </row>
    <row r="16" spans="7:8" ht="18.75">
      <c r="G16" s="39"/>
      <c r="H16"/>
    </row>
    <row r="17" ht="18.75">
      <c r="D17" s="132"/>
    </row>
    <row r="18" spans="2:9" ht="18.75">
      <c r="B18" t="s">
        <v>515</v>
      </c>
      <c r="D18" s="132"/>
      <c r="G18" s="38">
        <f>G13*0.1</f>
        <v>0</v>
      </c>
      <c r="H18" s="38" t="s">
        <v>512</v>
      </c>
      <c r="I18" s="121">
        <f>D19+30</f>
        <v>45101</v>
      </c>
    </row>
    <row r="19" spans="2:9" ht="18.75">
      <c r="B19" t="s">
        <v>516</v>
      </c>
      <c r="D19" s="124">
        <f ca="1">TODAY()</f>
        <v>45071</v>
      </c>
      <c r="G19" s="38">
        <f>G13*0.8</f>
        <v>0</v>
      </c>
      <c r="H19" s="38" t="s">
        <v>512</v>
      </c>
      <c r="I19" s="121">
        <f>G7-9</f>
        <v>45062</v>
      </c>
    </row>
    <row r="20" spans="2:9" ht="18.75">
      <c r="B20" t="s">
        <v>525</v>
      </c>
      <c r="D20" s="123"/>
      <c r="G20" s="38">
        <f>G13-G18-G19</f>
        <v>0</v>
      </c>
      <c r="H20" s="38" t="s">
        <v>512</v>
      </c>
      <c r="I20" s="121">
        <f>G7+7</f>
        <v>45078</v>
      </c>
    </row>
    <row r="22" ht="18.75">
      <c r="B22" t="s">
        <v>241</v>
      </c>
    </row>
    <row r="23" spans="2:8" ht="18.75">
      <c r="B23" t="s">
        <v>49</v>
      </c>
      <c r="G23" s="126" t="s">
        <v>526</v>
      </c>
      <c r="H23" s="127">
        <f>I19</f>
        <v>45062</v>
      </c>
    </row>
    <row r="24" spans="2:8" ht="18.75">
      <c r="B24" t="s">
        <v>532</v>
      </c>
      <c r="G24" s="128"/>
      <c r="H24" s="128"/>
    </row>
    <row r="25" spans="2:8" ht="18.75">
      <c r="B25" t="s">
        <v>50</v>
      </c>
      <c r="G25" s="128" t="s">
        <v>527</v>
      </c>
      <c r="H25" s="128"/>
    </row>
    <row r="26" spans="2:8" ht="18.75">
      <c r="B26" t="s">
        <v>51</v>
      </c>
      <c r="G26" s="128" t="s">
        <v>528</v>
      </c>
      <c r="H26" s="128"/>
    </row>
    <row r="27" spans="2:8" ht="18.75">
      <c r="B27" t="s">
        <v>572</v>
      </c>
      <c r="G27" s="128" t="s">
        <v>529</v>
      </c>
      <c r="H27" s="128"/>
    </row>
    <row r="28" ht="18.75">
      <c r="B28" t="s">
        <v>573</v>
      </c>
    </row>
    <row r="30" ht="18.75">
      <c r="E30" t="s">
        <v>576</v>
      </c>
    </row>
    <row r="32" spans="2:7" ht="18.75">
      <c r="B32" t="s">
        <v>574</v>
      </c>
      <c r="G32" s="38" t="s">
        <v>575</v>
      </c>
    </row>
    <row r="41" ht="18.75">
      <c r="A41" s="54"/>
    </row>
    <row r="42" ht="18.75">
      <c r="A42" s="55"/>
    </row>
    <row r="43" ht="18.75">
      <c r="A43" s="54"/>
    </row>
    <row r="44" ht="18.75">
      <c r="A44" s="56"/>
    </row>
    <row r="45" ht="18.75">
      <c r="A45" s="56"/>
    </row>
    <row r="46" spans="1:8" ht="18.75">
      <c r="A46" s="56"/>
      <c r="H46" s="38">
        <f>G48*A41</f>
        <v>0</v>
      </c>
    </row>
    <row r="47" ht="18.75">
      <c r="A47" s="56"/>
    </row>
    <row r="48" ht="18.75">
      <c r="A48" s="56"/>
    </row>
    <row r="49" ht="18.75">
      <c r="A49" s="56"/>
    </row>
    <row r="50" ht="18.75">
      <c r="A50" s="56"/>
    </row>
    <row r="51" ht="18.75">
      <c r="A51" s="56"/>
    </row>
    <row r="52" ht="18.75">
      <c r="A52" s="56"/>
    </row>
    <row r="53" ht="18.75">
      <c r="A53" s="56"/>
    </row>
    <row r="54" ht="18.75">
      <c r="A54" s="56"/>
    </row>
    <row r="55" ht="18.75">
      <c r="A55" s="57"/>
    </row>
    <row r="56" ht="18.75">
      <c r="A56" s="56"/>
    </row>
    <row r="57" ht="18.75">
      <c r="A57" s="56"/>
    </row>
    <row r="58" ht="18.75">
      <c r="A58" s="56"/>
    </row>
    <row r="59" ht="18.75">
      <c r="A59" s="54"/>
    </row>
    <row r="72" ht="18.75">
      <c r="A72" s="55"/>
    </row>
    <row r="73" spans="1:2" ht="18.75">
      <c r="A73" s="58"/>
      <c r="B73" s="26"/>
    </row>
    <row r="74" ht="18.75">
      <c r="B74" s="26"/>
    </row>
    <row r="75" ht="18.75">
      <c r="B75" s="26"/>
    </row>
    <row r="76" ht="18.75">
      <c r="A76" s="55" t="s">
        <v>52</v>
      </c>
    </row>
    <row r="77" spans="1:2" ht="12.75" customHeight="1">
      <c r="A77" s="58"/>
      <c r="B77" t="s">
        <v>53</v>
      </c>
    </row>
    <row r="78" spans="1:2" ht="12.75" customHeight="1">
      <c r="A78" s="58"/>
      <c r="B78" t="s">
        <v>54</v>
      </c>
    </row>
    <row r="79" spans="1:2" ht="12.75" customHeight="1">
      <c r="A79" s="58"/>
      <c r="B79" t="s">
        <v>55</v>
      </c>
    </row>
    <row r="80" ht="12.75" customHeight="1">
      <c r="B80" t="s">
        <v>56</v>
      </c>
    </row>
    <row r="82" spans="1:8" ht="25.5">
      <c r="A82" s="59" t="s">
        <v>57</v>
      </c>
      <c r="G82" s="38">
        <v>3.5</v>
      </c>
      <c r="H82" s="38">
        <f>G82*A77</f>
        <v>0</v>
      </c>
    </row>
    <row r="83" spans="1:8" ht="25.5">
      <c r="A83" s="59"/>
      <c r="G83" s="38">
        <v>6</v>
      </c>
      <c r="H83" s="38">
        <f>G83*A78</f>
        <v>0</v>
      </c>
    </row>
    <row r="84" spans="1:8" ht="18.75">
      <c r="A84" s="58"/>
      <c r="B84" t="s">
        <v>58</v>
      </c>
      <c r="G84" s="38">
        <v>10</v>
      </c>
      <c r="H84" s="38">
        <f>G84*A79</f>
        <v>0</v>
      </c>
    </row>
    <row r="85" spans="1:2" ht="18.75">
      <c r="A85" s="58"/>
      <c r="B85" t="s">
        <v>59</v>
      </c>
    </row>
    <row r="86" spans="1:2" ht="18.75">
      <c r="A86" s="58"/>
      <c r="B86" t="s">
        <v>60</v>
      </c>
    </row>
    <row r="87" spans="1:9" ht="18.75">
      <c r="A87" s="58"/>
      <c r="B87" t="s">
        <v>61</v>
      </c>
      <c r="I87" s="39">
        <f>SUM(H88:H116)</f>
        <v>0</v>
      </c>
    </row>
    <row r="88" ht="18.75">
      <c r="A88" s="27"/>
    </row>
    <row r="89" spans="1:8" ht="18.75">
      <c r="A89" s="58"/>
      <c r="B89" t="s">
        <v>62</v>
      </c>
      <c r="G89" s="38">
        <f>2*0.5</f>
        <v>1</v>
      </c>
      <c r="H89" s="38">
        <f>G89*A84</f>
        <v>0</v>
      </c>
    </row>
    <row r="90" spans="7:8" ht="18.75">
      <c r="G90" s="38">
        <f>3*0.5</f>
        <v>1.5</v>
      </c>
      <c r="H90" s="38">
        <f>G90*A85</f>
        <v>0</v>
      </c>
    </row>
    <row r="91" spans="1:8" ht="18.75">
      <c r="A91" s="58"/>
      <c r="B91" t="s">
        <v>63</v>
      </c>
      <c r="G91" s="38">
        <f>4*0.5</f>
        <v>2</v>
      </c>
      <c r="H91" s="38">
        <f>G91*A86</f>
        <v>0</v>
      </c>
    </row>
    <row r="92" spans="7:8" ht="18.75">
      <c r="G92" s="38">
        <v>0.5</v>
      </c>
      <c r="H92" s="38">
        <f>G92*A87</f>
        <v>0</v>
      </c>
    </row>
    <row r="93" spans="1:3" ht="18.75">
      <c r="A93" s="58"/>
      <c r="B93" t="s">
        <v>64</v>
      </c>
      <c r="C93" t="s">
        <v>65</v>
      </c>
    </row>
    <row r="94" spans="1:8" ht="18.75">
      <c r="A94" s="58"/>
      <c r="B94" t="s">
        <v>66</v>
      </c>
      <c r="C94" t="s">
        <v>65</v>
      </c>
      <c r="G94" s="38">
        <v>0.75</v>
      </c>
      <c r="H94" s="38">
        <f aca="true" t="shared" si="0" ref="H94:H100">G94*A89</f>
        <v>0</v>
      </c>
    </row>
    <row r="95" spans="1:8" ht="18.75">
      <c r="A95" s="58"/>
      <c r="B95" t="s">
        <v>67</v>
      </c>
      <c r="C95" t="s">
        <v>65</v>
      </c>
      <c r="H95" s="38">
        <f t="shared" si="0"/>
        <v>0</v>
      </c>
    </row>
    <row r="96" spans="1:8" ht="25.5">
      <c r="A96" s="59"/>
      <c r="G96" s="38">
        <v>0.75</v>
      </c>
      <c r="H96" s="38">
        <f t="shared" si="0"/>
        <v>0</v>
      </c>
    </row>
    <row r="97" spans="1:8" ht="18.75">
      <c r="A97" s="58"/>
      <c r="B97" t="s">
        <v>68</v>
      </c>
      <c r="H97" s="38">
        <f t="shared" si="0"/>
        <v>0</v>
      </c>
    </row>
    <row r="98" spans="1:8" ht="18.75">
      <c r="A98" s="58"/>
      <c r="B98" t="s">
        <v>69</v>
      </c>
      <c r="G98" s="38">
        <v>2.5</v>
      </c>
      <c r="H98" s="38">
        <f t="shared" si="0"/>
        <v>0</v>
      </c>
    </row>
    <row r="99" spans="7:8" ht="18.75">
      <c r="G99" s="38">
        <v>5</v>
      </c>
      <c r="H99" s="38">
        <f t="shared" si="0"/>
        <v>0</v>
      </c>
    </row>
    <row r="100" spans="1:8" ht="18.75">
      <c r="A100" s="58"/>
      <c r="B100" t="s">
        <v>35</v>
      </c>
      <c r="G100" s="38">
        <v>10</v>
      </c>
      <c r="H100" s="38">
        <f t="shared" si="0"/>
        <v>0</v>
      </c>
    </row>
    <row r="101" spans="1:2" ht="18.75">
      <c r="A101" s="58"/>
      <c r="B101" t="s">
        <v>36</v>
      </c>
    </row>
    <row r="102" spans="1:8" ht="18.75">
      <c r="A102" s="58"/>
      <c r="B102" t="s">
        <v>37</v>
      </c>
      <c r="G102" s="38">
        <v>5</v>
      </c>
      <c r="H102" s="38">
        <f aca="true" t="shared" si="1" ref="H102:H107">G102*A97</f>
        <v>0</v>
      </c>
    </row>
    <row r="103" spans="1:8" ht="18.75">
      <c r="A103" s="27"/>
      <c r="G103" s="38">
        <v>3</v>
      </c>
      <c r="H103" s="38">
        <f t="shared" si="1"/>
        <v>0</v>
      </c>
    </row>
    <row r="104" spans="1:8" ht="18.75">
      <c r="A104" s="58"/>
      <c r="B104" t="s">
        <v>70</v>
      </c>
      <c r="H104" s="38">
        <f t="shared" si="1"/>
        <v>0</v>
      </c>
    </row>
    <row r="105" spans="1:8" ht="18.75">
      <c r="A105" s="58"/>
      <c r="B105" t="s">
        <v>71</v>
      </c>
      <c r="G105" s="38">
        <v>2</v>
      </c>
      <c r="H105" s="38">
        <f t="shared" si="1"/>
        <v>0</v>
      </c>
    </row>
    <row r="106" spans="1:8" ht="18.75">
      <c r="A106" s="58"/>
      <c r="B106" t="s">
        <v>72</v>
      </c>
      <c r="G106" s="38">
        <v>2</v>
      </c>
      <c r="H106" s="38">
        <f t="shared" si="1"/>
        <v>0</v>
      </c>
    </row>
    <row r="107" spans="7:8" ht="18.75">
      <c r="G107" s="38">
        <v>0.75</v>
      </c>
      <c r="H107" s="38">
        <f t="shared" si="1"/>
        <v>0</v>
      </c>
    </row>
    <row r="108" ht="18.75">
      <c r="A108" s="60" t="s">
        <v>73</v>
      </c>
    </row>
    <row r="109" spans="1:8" ht="18.75">
      <c r="A109" s="58"/>
      <c r="B109" s="26">
        <v>5</v>
      </c>
      <c r="C109" t="s">
        <v>74</v>
      </c>
      <c r="G109" s="38">
        <v>0.3</v>
      </c>
      <c r="H109" s="38">
        <f>G109*A104</f>
        <v>0</v>
      </c>
    </row>
    <row r="110" spans="2:8" ht="18.75">
      <c r="B110" s="26">
        <v>45</v>
      </c>
      <c r="C110" t="s">
        <v>75</v>
      </c>
      <c r="G110" s="38">
        <v>0.8</v>
      </c>
      <c r="H110" s="38">
        <f>G110*A105</f>
        <v>0</v>
      </c>
    </row>
    <row r="111" spans="2:8" ht="18.75">
      <c r="B111" s="26">
        <v>20</v>
      </c>
      <c r="C111" t="s">
        <v>76</v>
      </c>
      <c r="G111" s="38">
        <v>1.3</v>
      </c>
      <c r="H111" s="38">
        <f>G111*A106</f>
        <v>0</v>
      </c>
    </row>
    <row r="112" spans="1:8" ht="25.5">
      <c r="A112" s="59" t="s">
        <v>77</v>
      </c>
      <c r="H112" s="38">
        <f>G112*A107</f>
        <v>0</v>
      </c>
    </row>
    <row r="114" spans="1:8" ht="18.75">
      <c r="A114" s="61"/>
      <c r="B114" s="62" t="s">
        <v>78</v>
      </c>
      <c r="C114" s="62"/>
      <c r="H114" s="38">
        <f>((A109/B110)*(B109+2))*B111</f>
        <v>0</v>
      </c>
    </row>
    <row r="115" spans="1:3" ht="18.75">
      <c r="A115" s="62"/>
      <c r="B115" s="62"/>
      <c r="C115" s="62"/>
    </row>
    <row r="116" spans="1:3" ht="18.75">
      <c r="A116" s="63"/>
      <c r="B116" s="63" t="s">
        <v>79</v>
      </c>
      <c r="C116" s="63"/>
    </row>
    <row r="117" spans="1:9" ht="18.75">
      <c r="A117" s="64"/>
      <c r="B117" s="65"/>
      <c r="C117" s="62" t="s">
        <v>80</v>
      </c>
      <c r="I117" s="39">
        <f>SUM(H118:H132)</f>
        <v>0</v>
      </c>
    </row>
    <row r="118" spans="1:3" ht="18.75">
      <c r="A118" s="64"/>
      <c r="B118" s="65"/>
      <c r="C118" s="62" t="s">
        <v>81</v>
      </c>
    </row>
    <row r="119" spans="1:8" ht="18.75">
      <c r="A119" s="64"/>
      <c r="B119" s="65"/>
      <c r="C119" s="62" t="s">
        <v>82</v>
      </c>
      <c r="G119" s="38">
        <v>0.75</v>
      </c>
      <c r="H119" s="38">
        <f aca="true" t="shared" si="2" ref="H119:H129">G119*A114</f>
        <v>0</v>
      </c>
    </row>
    <row r="120" spans="1:8" ht="18.75">
      <c r="A120" s="64"/>
      <c r="B120" s="65"/>
      <c r="C120" s="62" t="s">
        <v>83</v>
      </c>
      <c r="H120" s="38">
        <f t="shared" si="2"/>
        <v>0</v>
      </c>
    </row>
    <row r="121" spans="1:8" ht="18.75">
      <c r="A121" s="62"/>
      <c r="B121" s="62"/>
      <c r="C121" s="62"/>
      <c r="H121" s="38">
        <f t="shared" si="2"/>
        <v>0</v>
      </c>
    </row>
    <row r="122" spans="1:8" ht="18.75">
      <c r="A122" s="61"/>
      <c r="B122" s="62" t="s">
        <v>84</v>
      </c>
      <c r="C122" s="62" t="s">
        <v>85</v>
      </c>
      <c r="G122" s="66">
        <v>1</v>
      </c>
      <c r="H122" s="38">
        <f t="shared" si="2"/>
        <v>0</v>
      </c>
    </row>
    <row r="123" spans="1:8" ht="18.75">
      <c r="A123" s="64"/>
      <c r="B123" s="65"/>
      <c r="C123" s="62" t="s">
        <v>86</v>
      </c>
      <c r="G123" s="66">
        <v>1.3</v>
      </c>
      <c r="H123" s="38">
        <f t="shared" si="2"/>
        <v>0</v>
      </c>
    </row>
    <row r="124" spans="1:8" ht="18.75">
      <c r="A124" s="61"/>
      <c r="B124" s="62"/>
      <c r="C124" s="62" t="s">
        <v>87</v>
      </c>
      <c r="G124" s="66">
        <v>1.45</v>
      </c>
      <c r="H124" s="38">
        <f t="shared" si="2"/>
        <v>0</v>
      </c>
    </row>
    <row r="125" spans="1:8" ht="18.75">
      <c r="A125" s="67"/>
      <c r="B125" s="62"/>
      <c r="C125" s="62"/>
      <c r="G125" s="66">
        <v>2.5</v>
      </c>
      <c r="H125" s="38">
        <f t="shared" si="2"/>
        <v>0</v>
      </c>
    </row>
    <row r="126" spans="1:8" ht="25.5">
      <c r="A126" s="59" t="s">
        <v>88</v>
      </c>
      <c r="B126" s="62"/>
      <c r="C126" s="62"/>
      <c r="H126" s="38">
        <f t="shared" si="2"/>
        <v>0</v>
      </c>
    </row>
    <row r="127" spans="7:8" ht="18.75">
      <c r="G127" s="66">
        <v>0.62</v>
      </c>
      <c r="H127" s="38">
        <f t="shared" si="2"/>
        <v>0</v>
      </c>
    </row>
    <row r="128" spans="1:8" ht="18.75">
      <c r="A128" s="58"/>
      <c r="C128" s="67" t="s">
        <v>89</v>
      </c>
      <c r="G128" s="66">
        <v>0.82</v>
      </c>
      <c r="H128" s="38">
        <f t="shared" si="2"/>
        <v>0</v>
      </c>
    </row>
    <row r="129" spans="7:8" ht="18.75">
      <c r="G129" s="66">
        <v>1.25</v>
      </c>
      <c r="H129" s="38">
        <f t="shared" si="2"/>
        <v>0</v>
      </c>
    </row>
    <row r="130" spans="1:7" ht="18.75">
      <c r="A130" s="58"/>
      <c r="C130" s="67" t="s">
        <v>90</v>
      </c>
      <c r="G130" s="66"/>
    </row>
    <row r="131" spans="7:9" ht="18.75">
      <c r="G131" s="66"/>
      <c r="I131" s="39">
        <f>SUM(H133:H144)</f>
        <v>0</v>
      </c>
    </row>
    <row r="132" spans="1:8" ht="18.75">
      <c r="A132" s="58"/>
      <c r="C132" t="s">
        <v>91</v>
      </c>
      <c r="E132" t="s">
        <v>92</v>
      </c>
      <c r="H132" s="38">
        <f aca="true" t="shared" si="3" ref="H132:H139">G132*A127</f>
        <v>0</v>
      </c>
    </row>
    <row r="133" spans="7:8" ht="18.75">
      <c r="G133" s="38">
        <v>500</v>
      </c>
      <c r="H133" s="38">
        <f t="shared" si="3"/>
        <v>0</v>
      </c>
    </row>
    <row r="134" spans="1:8" ht="18.75">
      <c r="A134" s="58"/>
      <c r="C134" t="s">
        <v>93</v>
      </c>
      <c r="H134" s="38">
        <f t="shared" si="3"/>
        <v>0</v>
      </c>
    </row>
    <row r="135" spans="7:8" ht="18.75">
      <c r="G135" s="38">
        <v>12.5</v>
      </c>
      <c r="H135" s="38">
        <f t="shared" si="3"/>
        <v>0</v>
      </c>
    </row>
    <row r="136" ht="18.75">
      <c r="H136" s="38">
        <f t="shared" si="3"/>
        <v>0</v>
      </c>
    </row>
    <row r="137" spans="7:8" ht="18.75">
      <c r="G137" s="38">
        <v>200</v>
      </c>
      <c r="H137" s="38">
        <f t="shared" si="3"/>
        <v>0</v>
      </c>
    </row>
    <row r="138" ht="18.75">
      <c r="H138" s="38">
        <f t="shared" si="3"/>
        <v>0</v>
      </c>
    </row>
    <row r="139" spans="7:8" ht="18.75">
      <c r="G139" s="38">
        <v>1250</v>
      </c>
      <c r="H139" s="38">
        <f t="shared" si="3"/>
        <v>0</v>
      </c>
    </row>
  </sheetData>
  <sheetProtection/>
  <printOptions/>
  <pageMargins left="0.2298611111111111" right="0.2298611111111111" top="0.1701388888888889" bottom="0.3701388888888889" header="0.5118055555555555" footer="0.5118055555555555"/>
  <pageSetup horizontalDpi="300" verticalDpi="300" orientation="portrait" paperSize="9" r:id="rId1"/>
  <rowBreaks count="3" manualBreakCount="3">
    <brk id="41" max="255" man="1"/>
    <brk id="81" max="255" man="1"/>
    <brk id="111" max="255" man="1"/>
  </rowBreaks>
</worksheet>
</file>

<file path=xl/worksheets/sheet3.xml><?xml version="1.0" encoding="utf-8"?>
<worksheet xmlns="http://schemas.openxmlformats.org/spreadsheetml/2006/main" xmlns:r="http://schemas.openxmlformats.org/officeDocument/2006/relationships">
  <dimension ref="A1:I9"/>
  <sheetViews>
    <sheetView showGridLines="0" showZeros="0" zoomScalePageLayoutView="0" workbookViewId="0" topLeftCell="A1">
      <selection activeCell="E1" sqref="E1"/>
    </sheetView>
  </sheetViews>
  <sheetFormatPr defaultColWidth="11.421875" defaultRowHeight="12.75"/>
  <cols>
    <col min="5" max="5" width="16.421875" style="0" customWidth="1"/>
    <col min="6" max="6" width="6.7109375" style="0" customWidth="1"/>
    <col min="7" max="7" width="8.140625" style="0" customWidth="1"/>
  </cols>
  <sheetData>
    <row r="1" spans="1:8" ht="25.5">
      <c r="A1" s="59" t="s">
        <v>479</v>
      </c>
      <c r="E1" s="39">
        <f>SUM(H3:H9)</f>
        <v>0</v>
      </c>
      <c r="G1" s="38"/>
      <c r="H1" s="38"/>
    </row>
    <row r="2" spans="7:9" ht="18.75">
      <c r="G2" s="38"/>
      <c r="H2" s="38"/>
      <c r="I2" s="39"/>
    </row>
    <row r="3" spans="1:9" ht="18.75">
      <c r="A3" s="58"/>
      <c r="B3" t="s">
        <v>242</v>
      </c>
      <c r="E3" t="s">
        <v>94</v>
      </c>
      <c r="G3" s="38">
        <f>2*'Dét. échoppes'!$J$1</f>
        <v>3.4</v>
      </c>
      <c r="H3" s="38">
        <f>G3*A3</f>
        <v>0</v>
      </c>
      <c r="I3" s="39"/>
    </row>
    <row r="4" spans="1:9" ht="18.75">
      <c r="A4" s="58"/>
      <c r="B4" t="s">
        <v>243</v>
      </c>
      <c r="E4" t="s">
        <v>94</v>
      </c>
      <c r="G4" s="38">
        <f>2*'Dét. échoppes'!$J$1</f>
        <v>3.4</v>
      </c>
      <c r="H4" s="38">
        <f>G4*A4</f>
        <v>0</v>
      </c>
      <c r="I4" s="39"/>
    </row>
    <row r="5" spans="1:9" ht="18.75">
      <c r="A5" s="58"/>
      <c r="B5" t="s">
        <v>95</v>
      </c>
      <c r="G5" s="38">
        <f>1*'Dét. échoppes'!$J$1</f>
        <v>1.7</v>
      </c>
      <c r="H5" s="38">
        <f>G5*A5</f>
        <v>0</v>
      </c>
      <c r="I5" s="39"/>
    </row>
    <row r="6" spans="1:9" ht="18.75">
      <c r="A6" s="27"/>
      <c r="B6" s="1" t="s">
        <v>62</v>
      </c>
      <c r="G6" s="38"/>
      <c r="H6" s="38"/>
      <c r="I6" s="39"/>
    </row>
    <row r="7" spans="1:9" ht="18.75">
      <c r="A7" s="58"/>
      <c r="B7" t="s">
        <v>96</v>
      </c>
      <c r="G7" s="38">
        <f>0.75*'Dét. échoppes'!$J$1</f>
        <v>1.275</v>
      </c>
      <c r="H7" s="38">
        <f>G7*A7</f>
        <v>0</v>
      </c>
      <c r="I7" s="39"/>
    </row>
    <row r="8" spans="1:9" ht="18.75">
      <c r="A8" s="58"/>
      <c r="B8" t="s">
        <v>97</v>
      </c>
      <c r="G8" s="38">
        <f>0.75*'Dét. échoppes'!$J$1</f>
        <v>1.275</v>
      </c>
      <c r="H8" s="38">
        <f>G8*A8</f>
        <v>0</v>
      </c>
      <c r="I8" s="39"/>
    </row>
    <row r="9" spans="1:9" ht="18.75">
      <c r="A9" s="58"/>
      <c r="B9" t="s">
        <v>385</v>
      </c>
      <c r="G9" s="38">
        <f>0.75*'Dét. échoppes'!$J$1</f>
        <v>1.275</v>
      </c>
      <c r="H9" s="38">
        <f>G9*A9</f>
        <v>0</v>
      </c>
      <c r="I9" s="39"/>
    </row>
  </sheetData>
  <sheetProtection/>
  <printOptions/>
  <pageMargins left="0.42986111111111114" right="0.4097222222222222" top="0.2902777777777778"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1">
      <selection activeCell="D1" sqref="D1"/>
    </sheetView>
  </sheetViews>
  <sheetFormatPr defaultColWidth="11.421875" defaultRowHeight="12.75"/>
  <cols>
    <col min="1" max="1" width="6.7109375" style="0" customWidth="1"/>
    <col min="2" max="2" width="13.7109375" style="0" customWidth="1"/>
    <col min="3" max="3" width="5.28125" style="0" customWidth="1"/>
    <col min="4" max="4" width="10.421875" style="0" customWidth="1"/>
    <col min="5" max="5" width="20.421875" style="0" customWidth="1"/>
    <col min="6" max="6" width="6.421875" style="0" customWidth="1"/>
    <col min="7" max="7" width="10.7109375" style="0" customWidth="1"/>
    <col min="8" max="8" width="16.140625" style="0" customWidth="1"/>
    <col min="9" max="9" width="10.421875" style="0" customWidth="1"/>
    <col min="10" max="10" width="7.421875" style="0" customWidth="1"/>
    <col min="11" max="11" width="5.7109375" style="0" customWidth="1"/>
    <col min="12" max="12" width="8.421875" style="0" customWidth="1"/>
    <col min="13" max="13" width="4.7109375" style="0" customWidth="1"/>
    <col min="14" max="14" width="6.140625" style="0" customWidth="1"/>
    <col min="15" max="15" width="9.7109375" style="0" customWidth="1"/>
    <col min="16" max="16" width="10.421875" style="0" customWidth="1"/>
  </cols>
  <sheetData>
    <row r="1" spans="1:10" ht="25.5">
      <c r="A1" s="59" t="s">
        <v>46</v>
      </c>
      <c r="D1" s="69">
        <f>'Page de garde'!D13</f>
        <v>0</v>
      </c>
      <c r="E1" t="s">
        <v>217</v>
      </c>
      <c r="H1" s="39">
        <f>SUM(I4:I25)</f>
        <v>0</v>
      </c>
      <c r="I1" s="38"/>
      <c r="J1" s="39"/>
    </row>
    <row r="2" spans="1:10" ht="25.5">
      <c r="A2" s="59"/>
      <c r="D2" s="69">
        <f>'Page de garde'!D14+'Page de garde'!D15</f>
        <v>0</v>
      </c>
      <c r="E2" t="s">
        <v>429</v>
      </c>
      <c r="H2" s="39"/>
      <c r="I2" s="38"/>
      <c r="J2" s="39"/>
    </row>
    <row r="3" spans="3:9" ht="12.75">
      <c r="C3" s="18" t="s">
        <v>99</v>
      </c>
      <c r="H3" s="38"/>
      <c r="I3" s="38"/>
    </row>
    <row r="4" spans="1:10" ht="18.75">
      <c r="A4" s="70">
        <f>$D$1</f>
        <v>0</v>
      </c>
      <c r="B4" t="s">
        <v>100</v>
      </c>
      <c r="C4" s="71">
        <f>Information!E22</f>
        <v>9</v>
      </c>
      <c r="D4" t="s">
        <v>411</v>
      </c>
      <c r="F4">
        <f>C4*2</f>
        <v>18</v>
      </c>
      <c r="G4" t="s">
        <v>101</v>
      </c>
      <c r="H4" s="38">
        <f>C4*0.5*'Dét. échoppes'!$J$1</f>
        <v>7.6499999999999995</v>
      </c>
      <c r="I4" s="38">
        <f>H4*A4</f>
        <v>0</v>
      </c>
      <c r="J4" s="39"/>
    </row>
    <row r="5" spans="8:10" ht="8.25" customHeight="1">
      <c r="H5" s="38"/>
      <c r="I5" s="38"/>
      <c r="J5" s="39"/>
    </row>
    <row r="6" spans="1:10" ht="18.75">
      <c r="A6" s="70">
        <f>D1</f>
        <v>0</v>
      </c>
      <c r="B6" t="s">
        <v>244</v>
      </c>
      <c r="H6" s="38">
        <f>0.5*'Dét. échoppes'!$J$1</f>
        <v>0.85</v>
      </c>
      <c r="I6" s="38">
        <f>H6*A6</f>
        <v>0</v>
      </c>
      <c r="J6" s="39"/>
    </row>
    <row r="7" spans="1:10" ht="8.25" customHeight="1">
      <c r="A7" s="27"/>
      <c r="H7" s="38"/>
      <c r="I7" s="38"/>
      <c r="J7" s="39"/>
    </row>
    <row r="8" spans="1:10" ht="18.75">
      <c r="A8" s="71"/>
      <c r="B8" t="s">
        <v>102</v>
      </c>
      <c r="H8" s="38">
        <f>6*'Dét. échoppes'!$J$1</f>
        <v>10.2</v>
      </c>
      <c r="I8" s="38">
        <f>H8*A8</f>
        <v>0</v>
      </c>
      <c r="J8" s="39"/>
    </row>
    <row r="9" spans="1:10" ht="10.5" customHeight="1">
      <c r="A9" s="27"/>
      <c r="H9" s="38"/>
      <c r="I9" s="38"/>
      <c r="J9" s="39"/>
    </row>
    <row r="10" spans="1:10" ht="18.75">
      <c r="A10" s="71"/>
      <c r="B10" t="s">
        <v>245</v>
      </c>
      <c r="H10" s="38">
        <f>0.75*'Dét. échoppes'!$J$1</f>
        <v>1.275</v>
      </c>
      <c r="I10" s="38">
        <f>H10*A10</f>
        <v>0</v>
      </c>
      <c r="J10" s="39"/>
    </row>
    <row r="11" spans="1:10" ht="18.75">
      <c r="A11" s="72"/>
      <c r="H11" s="38"/>
      <c r="I11" s="38">
        <f>H11*A11</f>
        <v>0</v>
      </c>
      <c r="J11" s="39"/>
    </row>
    <row r="12" spans="1:10" ht="18.75">
      <c r="A12" s="70">
        <f>D2</f>
        <v>0</v>
      </c>
      <c r="B12" t="s">
        <v>246</v>
      </c>
      <c r="H12" s="38">
        <f>1.5*'Dét. échoppes'!$J$1</f>
        <v>2.55</v>
      </c>
      <c r="I12" s="38">
        <f>H12*A12</f>
        <v>0</v>
      </c>
      <c r="J12" s="39"/>
    </row>
    <row r="13" spans="8:10" ht="9" customHeight="1">
      <c r="H13" s="38"/>
      <c r="I13" s="38"/>
      <c r="J13" s="39"/>
    </row>
    <row r="14" spans="1:10" ht="18.75">
      <c r="A14" s="70">
        <f>IF(Information!A26="X",Cocktail!$D$1+Cocktail!$D$2,0)</f>
        <v>0</v>
      </c>
      <c r="B14" t="s">
        <v>533</v>
      </c>
      <c r="H14" s="38">
        <f>0.75*'Dét. échoppes'!$J$1</f>
        <v>1.275</v>
      </c>
      <c r="I14" s="38">
        <f>H14*A14</f>
        <v>0</v>
      </c>
      <c r="J14" s="39"/>
    </row>
    <row r="15" spans="8:10" ht="8.25" customHeight="1">
      <c r="H15" s="38"/>
      <c r="I15" s="38"/>
      <c r="J15" s="39"/>
    </row>
    <row r="16" spans="1:10" ht="18.75">
      <c r="A16" s="70">
        <f>IF(Information!A27="X",Cocktail!$D$1,0)</f>
        <v>0</v>
      </c>
      <c r="B16" t="s">
        <v>64</v>
      </c>
      <c r="C16" t="s">
        <v>520</v>
      </c>
      <c r="H16" s="38">
        <f>2.5*'Dét. échoppes'!$J$1</f>
        <v>4.25</v>
      </c>
      <c r="I16" s="38">
        <f>H16*A16</f>
        <v>0</v>
      </c>
      <c r="J16" s="39"/>
    </row>
    <row r="17" spans="1:10" ht="18.75">
      <c r="A17" s="70">
        <f>IF(Information!A28="X",Cocktail!$D$1,0)</f>
        <v>0</v>
      </c>
      <c r="B17" t="s">
        <v>66</v>
      </c>
      <c r="C17" t="s">
        <v>521</v>
      </c>
      <c r="H17" s="38">
        <f>5*'Dét. échoppes'!$J$1</f>
        <v>8.5</v>
      </c>
      <c r="I17" s="38">
        <f>H17*A17</f>
        <v>0</v>
      </c>
      <c r="J17" s="39"/>
    </row>
    <row r="18" spans="1:10" ht="18.75">
      <c r="A18" s="70">
        <f>IF(Information!A29="X",Cocktail!$D$1,0)</f>
        <v>0</v>
      </c>
      <c r="B18" t="s">
        <v>67</v>
      </c>
      <c r="C18" t="s">
        <v>521</v>
      </c>
      <c r="H18" s="38">
        <f>10*'Dét. échoppes'!$J$1</f>
        <v>17</v>
      </c>
      <c r="I18" s="38">
        <f>H18*A18</f>
        <v>0</v>
      </c>
      <c r="J18" s="39"/>
    </row>
    <row r="19" spans="8:10" ht="9" customHeight="1">
      <c r="H19" s="38"/>
      <c r="I19" s="38"/>
      <c r="J19" s="39"/>
    </row>
    <row r="20" spans="1:10" ht="18.75">
      <c r="A20" s="70">
        <f>$D$1</f>
        <v>0</v>
      </c>
      <c r="B20" s="73">
        <f>(Information!D22*24)</f>
        <v>2</v>
      </c>
      <c r="C20" t="s">
        <v>103</v>
      </c>
      <c r="E20">
        <f>'Dét. échoppes'!K1</f>
        <v>32</v>
      </c>
      <c r="H20" s="38">
        <f>((B20+2)*E20)/20</f>
        <v>6.4</v>
      </c>
      <c r="I20" s="38">
        <f>H20*A20</f>
        <v>0</v>
      </c>
      <c r="J20" s="39"/>
    </row>
    <row r="21" spans="8:10" ht="9.75" customHeight="1">
      <c r="H21" s="38"/>
      <c r="I21" s="38"/>
      <c r="J21" s="39"/>
    </row>
    <row r="22" spans="1:10" ht="18.75">
      <c r="A22" s="71"/>
      <c r="B22" t="s">
        <v>70</v>
      </c>
      <c r="H22" s="38">
        <f>0.3*'Dét. échoppes'!$J$1</f>
        <v>0.51</v>
      </c>
      <c r="I22" s="38">
        <f>H22*A22</f>
        <v>0</v>
      </c>
      <c r="J22" s="39"/>
    </row>
    <row r="23" spans="1:16" ht="12.75">
      <c r="A23" s="70">
        <f>$D$1</f>
        <v>0</v>
      </c>
      <c r="B23" t="s">
        <v>247</v>
      </c>
      <c r="H23" s="38">
        <f>0.8*'Dét. échoppes'!$J$1</f>
        <v>1.36</v>
      </c>
      <c r="I23" s="38">
        <f>H23*A23</f>
        <v>0</v>
      </c>
      <c r="J23" t="s">
        <v>206</v>
      </c>
      <c r="K23" t="s">
        <v>207</v>
      </c>
      <c r="L23" t="s">
        <v>210</v>
      </c>
      <c r="M23" t="s">
        <v>211</v>
      </c>
      <c r="N23" t="s">
        <v>212</v>
      </c>
      <c r="O23" t="s">
        <v>213</v>
      </c>
      <c r="P23" t="s">
        <v>214</v>
      </c>
    </row>
    <row r="24" spans="1:16" ht="15">
      <c r="A24" s="71">
        <v>0</v>
      </c>
      <c r="B24" t="s">
        <v>248</v>
      </c>
      <c r="H24" s="38">
        <f>1.3*'Dét. échoppes'!$J$1</f>
        <v>2.21</v>
      </c>
      <c r="I24" s="38">
        <f>H24*A24</f>
        <v>0</v>
      </c>
      <c r="J24" s="96" t="s">
        <v>208</v>
      </c>
      <c r="K24" t="s">
        <v>209</v>
      </c>
      <c r="L24" t="s">
        <v>210</v>
      </c>
      <c r="M24" t="s">
        <v>211</v>
      </c>
      <c r="N24" t="s">
        <v>212</v>
      </c>
      <c r="O24" t="s">
        <v>213</v>
      </c>
      <c r="P24" t="s">
        <v>214</v>
      </c>
    </row>
    <row r="25" spans="8:10" ht="18.75">
      <c r="H25" s="38"/>
      <c r="I25" s="38"/>
      <c r="J25" s="39"/>
    </row>
    <row r="26" ht="18.75" customHeight="1"/>
    <row r="27" ht="21" customHeight="1"/>
    <row r="28" spans="1:6" ht="12.75">
      <c r="A28" s="25" t="s">
        <v>457</v>
      </c>
      <c r="D28">
        <f>A30+F30</f>
        <v>0</v>
      </c>
      <c r="F28" t="s">
        <v>420</v>
      </c>
    </row>
    <row r="30" spans="1:7" ht="15">
      <c r="A30">
        <f>SUM(A31:A44)</f>
        <v>0</v>
      </c>
      <c r="B30" s="74" t="s">
        <v>104</v>
      </c>
      <c r="C30" s="27"/>
      <c r="D30" s="27"/>
      <c r="E30" s="75"/>
      <c r="F30">
        <f>SUM(F31:F44)</f>
        <v>0</v>
      </c>
      <c r="G30" s="74" t="s">
        <v>105</v>
      </c>
    </row>
    <row r="31" spans="1:7" ht="12.75">
      <c r="A31" s="71">
        <v>0</v>
      </c>
      <c r="B31" s="27" t="s">
        <v>421</v>
      </c>
      <c r="C31" s="27"/>
      <c r="D31" s="27"/>
      <c r="E31" s="75"/>
      <c r="F31" s="71"/>
      <c r="G31" s="27" t="s">
        <v>256</v>
      </c>
    </row>
    <row r="32" spans="1:7" ht="12.75">
      <c r="A32" s="71"/>
      <c r="B32" s="27" t="s">
        <v>106</v>
      </c>
      <c r="C32" s="27"/>
      <c r="D32" s="27"/>
      <c r="E32" s="75"/>
      <c r="F32" s="71"/>
      <c r="G32" s="27" t="s">
        <v>107</v>
      </c>
    </row>
    <row r="33" spans="1:7" ht="12.75">
      <c r="A33" s="71"/>
      <c r="B33" s="27" t="s">
        <v>249</v>
      </c>
      <c r="C33" s="27"/>
      <c r="D33" s="27"/>
      <c r="E33" s="75"/>
      <c r="F33" s="71"/>
      <c r="G33" s="27" t="s">
        <v>108</v>
      </c>
    </row>
    <row r="34" spans="1:8" ht="12.75">
      <c r="A34" s="71"/>
      <c r="B34" s="27" t="s">
        <v>109</v>
      </c>
      <c r="C34" s="27"/>
      <c r="D34" s="27"/>
      <c r="E34" s="75"/>
      <c r="F34" s="71"/>
      <c r="G34" s="27" t="s">
        <v>110</v>
      </c>
      <c r="H34" s="27" t="s">
        <v>255</v>
      </c>
    </row>
    <row r="35" spans="1:7" ht="12.75">
      <c r="A35" s="71"/>
      <c r="B35" s="27" t="s">
        <v>250</v>
      </c>
      <c r="C35" s="27"/>
      <c r="D35" s="27"/>
      <c r="E35" s="75"/>
      <c r="F35" s="71"/>
      <c r="G35" s="27" t="s">
        <v>111</v>
      </c>
    </row>
    <row r="36" spans="1:7" ht="12.75">
      <c r="A36" s="71"/>
      <c r="B36" s="27" t="s">
        <v>112</v>
      </c>
      <c r="C36" s="27"/>
      <c r="D36" s="27"/>
      <c r="E36" s="75"/>
      <c r="F36" s="71"/>
      <c r="G36" s="27" t="s">
        <v>257</v>
      </c>
    </row>
    <row r="37" spans="1:7" ht="12.75">
      <c r="A37" s="71"/>
      <c r="B37" s="27" t="s">
        <v>251</v>
      </c>
      <c r="C37" s="27"/>
      <c r="D37" s="27"/>
      <c r="E37" s="75"/>
      <c r="F37" s="71"/>
      <c r="G37" s="27" t="s">
        <v>265</v>
      </c>
    </row>
    <row r="38" spans="1:7" ht="12.75">
      <c r="A38" s="71"/>
      <c r="B38" s="27" t="s">
        <v>113</v>
      </c>
      <c r="C38" s="27"/>
      <c r="D38" s="27"/>
      <c r="E38" s="75"/>
      <c r="F38" s="71"/>
      <c r="G38" s="27" t="s">
        <v>114</v>
      </c>
    </row>
    <row r="39" spans="1:7" ht="12.75">
      <c r="A39" s="71"/>
      <c r="B39" s="27" t="s">
        <v>115</v>
      </c>
      <c r="C39" s="27"/>
      <c r="D39" s="27"/>
      <c r="E39" s="75"/>
      <c r="F39" s="71"/>
      <c r="G39" s="27" t="s">
        <v>116</v>
      </c>
    </row>
    <row r="40" spans="1:7" ht="12.75">
      <c r="A40" s="71"/>
      <c r="B40" s="27" t="s">
        <v>252</v>
      </c>
      <c r="C40" s="27"/>
      <c r="D40" s="27"/>
      <c r="E40" s="75"/>
      <c r="F40" s="71"/>
      <c r="G40" s="27" t="s">
        <v>258</v>
      </c>
    </row>
    <row r="41" spans="1:7" ht="12.75">
      <c r="A41" s="71"/>
      <c r="B41" s="27" t="s">
        <v>117</v>
      </c>
      <c r="C41" s="27"/>
      <c r="D41" s="27"/>
      <c r="E41" s="75"/>
      <c r="F41" s="71"/>
      <c r="G41" s="27" t="s">
        <v>118</v>
      </c>
    </row>
    <row r="42" spans="1:7" ht="12.75">
      <c r="A42" s="71"/>
      <c r="B42" s="27" t="s">
        <v>253</v>
      </c>
      <c r="C42" s="27"/>
      <c r="D42" s="27"/>
      <c r="E42" s="75"/>
      <c r="F42" s="71"/>
      <c r="G42" s="27" t="s">
        <v>259</v>
      </c>
    </row>
    <row r="43" spans="1:7" ht="12.75">
      <c r="A43" s="71"/>
      <c r="B43" s="27" t="s">
        <v>254</v>
      </c>
      <c r="C43" s="27"/>
      <c r="D43" s="27"/>
      <c r="E43" s="75"/>
      <c r="F43" s="71"/>
      <c r="G43" s="27" t="s">
        <v>260</v>
      </c>
    </row>
    <row r="44" spans="2:5" ht="12.75">
      <c r="B44" s="27"/>
      <c r="C44" s="27"/>
      <c r="D44" s="27"/>
      <c r="E44" s="27"/>
    </row>
    <row r="45" spans="1:6" ht="18.75">
      <c r="A45" s="1" t="s">
        <v>236</v>
      </c>
      <c r="C45">
        <f>SUM(A47:A55)</f>
        <v>0</v>
      </c>
      <c r="F45" s="1" t="s">
        <v>119</v>
      </c>
    </row>
    <row r="46" spans="6:7" ht="12.75">
      <c r="F46" s="58"/>
      <c r="G46" t="s">
        <v>266</v>
      </c>
    </row>
    <row r="47" spans="1:8" ht="12.75">
      <c r="A47" s="71"/>
      <c r="B47" s="76" t="s">
        <v>261</v>
      </c>
      <c r="H47" t="s">
        <v>120</v>
      </c>
    </row>
    <row r="48" spans="1:7" ht="12.75">
      <c r="A48" s="71"/>
      <c r="B48" s="76" t="s">
        <v>262</v>
      </c>
      <c r="F48" s="58"/>
      <c r="G48" t="s">
        <v>267</v>
      </c>
    </row>
    <row r="49" spans="1:7" ht="12.75">
      <c r="A49" s="71"/>
      <c r="B49" s="76" t="s">
        <v>263</v>
      </c>
      <c r="F49" s="58"/>
      <c r="G49" t="s">
        <v>271</v>
      </c>
    </row>
    <row r="50" spans="1:8" ht="12.75">
      <c r="A50" s="71"/>
      <c r="B50" s="76" t="s">
        <v>264</v>
      </c>
      <c r="H50" t="s">
        <v>121</v>
      </c>
    </row>
    <row r="51" spans="1:7" ht="12.75">
      <c r="A51" s="71"/>
      <c r="B51" s="76" t="s">
        <v>414</v>
      </c>
      <c r="F51" s="58"/>
      <c r="G51" t="s">
        <v>122</v>
      </c>
    </row>
    <row r="52" spans="1:8" ht="12.75">
      <c r="A52" s="71"/>
      <c r="B52" s="76" t="s">
        <v>252</v>
      </c>
      <c r="H52" t="s">
        <v>272</v>
      </c>
    </row>
    <row r="53" spans="1:7" ht="12.75">
      <c r="A53" s="71"/>
      <c r="B53" s="76" t="s">
        <v>412</v>
      </c>
      <c r="F53" s="58"/>
      <c r="G53" t="s">
        <v>268</v>
      </c>
    </row>
    <row r="54" spans="1:8" ht="12.75">
      <c r="A54" s="71"/>
      <c r="B54" s="76" t="s">
        <v>422</v>
      </c>
      <c r="H54" t="s">
        <v>270</v>
      </c>
    </row>
    <row r="55" spans="1:7" ht="12.75">
      <c r="A55" s="71"/>
      <c r="B55" s="76" t="s">
        <v>413</v>
      </c>
      <c r="F55" s="58"/>
      <c r="G55" t="s">
        <v>269</v>
      </c>
    </row>
    <row r="57" spans="6:7" ht="12.75">
      <c r="F57" s="58"/>
      <c r="G57" t="s">
        <v>426</v>
      </c>
    </row>
    <row r="59" spans="6:7" ht="12.75">
      <c r="F59" s="58"/>
      <c r="G59" t="s">
        <v>427</v>
      </c>
    </row>
    <row r="61" spans="6:7" ht="12.75">
      <c r="F61" s="58"/>
      <c r="G61" t="s">
        <v>425</v>
      </c>
    </row>
  </sheetData>
  <sheetProtection/>
  <printOptions/>
  <pageMargins left="0.2298611111111111" right="0.25" top="0.1701388888888889" bottom="0.1701388888888889"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O109"/>
  <sheetViews>
    <sheetView showGridLines="0" showZeros="0" zoomScalePageLayoutView="0" workbookViewId="0" topLeftCell="A45">
      <selection activeCell="K49" sqref="K49:N65"/>
    </sheetView>
  </sheetViews>
  <sheetFormatPr defaultColWidth="11.421875" defaultRowHeight="12.75"/>
  <cols>
    <col min="4" max="5" width="7.7109375" style="0" customWidth="1"/>
    <col min="6" max="6" width="22.421875" style="0" customWidth="1"/>
    <col min="7" max="7" width="8.421875" style="0" customWidth="1"/>
    <col min="13" max="13" width="23.140625" style="0" customWidth="1"/>
  </cols>
  <sheetData>
    <row r="1" spans="1:8" ht="25.5">
      <c r="A1" s="59" t="s">
        <v>47</v>
      </c>
      <c r="C1" s="77">
        <f>'Page de garde'!E13</f>
        <v>0</v>
      </c>
      <c r="D1" t="s">
        <v>217</v>
      </c>
      <c r="F1" s="39">
        <f>SUM(H4:H129)</f>
        <v>0</v>
      </c>
      <c r="G1" s="38"/>
      <c r="H1" s="38"/>
    </row>
    <row r="2" spans="1:8" ht="25.5">
      <c r="A2" s="59"/>
      <c r="C2" s="78">
        <f>'Page de garde'!E14</f>
        <v>0</v>
      </c>
      <c r="D2" t="s">
        <v>428</v>
      </c>
      <c r="F2" s="39"/>
      <c r="G2" s="38"/>
      <c r="H2" s="38"/>
    </row>
    <row r="3" spans="1:9" ht="18.75">
      <c r="A3" s="133" t="s">
        <v>543</v>
      </c>
      <c r="G3" s="38"/>
      <c r="H3" s="38"/>
      <c r="I3" s="39"/>
    </row>
    <row r="4" spans="1:9" ht="18.75">
      <c r="A4" s="55" t="s">
        <v>123</v>
      </c>
      <c r="C4" s="38">
        <f>SUM(H5:H28)</f>
        <v>0</v>
      </c>
      <c r="G4" s="38"/>
      <c r="H4" s="38"/>
      <c r="I4" s="39"/>
    </row>
    <row r="5" spans="1:9" ht="15" customHeight="1">
      <c r="A5" s="79"/>
      <c r="B5" t="s">
        <v>124</v>
      </c>
      <c r="G5" s="38">
        <f>2*'Dét. échoppes'!$J$1</f>
        <v>3.4</v>
      </c>
      <c r="H5" s="38">
        <f aca="true" t="shared" si="0" ref="H5:H91">G5*A5</f>
        <v>0</v>
      </c>
      <c r="I5" s="39"/>
    </row>
    <row r="6" spans="1:9" ht="15" customHeight="1">
      <c r="A6" s="58"/>
      <c r="B6" t="s">
        <v>273</v>
      </c>
      <c r="G6" s="38">
        <f>7.5*'Dét. échoppes'!$J$1</f>
        <v>12.75</v>
      </c>
      <c r="H6" s="38">
        <f t="shared" si="0"/>
        <v>0</v>
      </c>
      <c r="I6" s="39"/>
    </row>
    <row r="7" spans="1:9" ht="15" customHeight="1">
      <c r="A7" s="80"/>
      <c r="B7" t="s">
        <v>274</v>
      </c>
      <c r="G7" s="38">
        <f>4*'Dét. échoppes'!$J$1</f>
        <v>6.8</v>
      </c>
      <c r="H7" s="38">
        <f t="shared" si="0"/>
        <v>0</v>
      </c>
      <c r="I7" s="39"/>
    </row>
    <row r="8" spans="1:9" ht="15" customHeight="1">
      <c r="A8" s="58"/>
      <c r="B8" t="s">
        <v>275</v>
      </c>
      <c r="G8" s="38">
        <f>4.5*'Dét. échoppes'!$J$1</f>
        <v>7.6499999999999995</v>
      </c>
      <c r="H8" s="38">
        <f t="shared" si="0"/>
        <v>0</v>
      </c>
      <c r="I8" s="39"/>
    </row>
    <row r="9" spans="1:9" ht="15" customHeight="1">
      <c r="A9" s="58"/>
      <c r="B9" t="s">
        <v>431</v>
      </c>
      <c r="G9" s="38">
        <f>6.75*'Dét. échoppes'!$J$1</f>
        <v>11.475</v>
      </c>
      <c r="H9" s="38">
        <f t="shared" si="0"/>
        <v>0</v>
      </c>
      <c r="I9" s="39"/>
    </row>
    <row r="10" spans="1:9" ht="15" customHeight="1">
      <c r="A10" s="80">
        <f>IF(Information!$A$37="x",'Repas chaud'!$C$1,0)</f>
        <v>0</v>
      </c>
      <c r="B10" t="s">
        <v>125</v>
      </c>
      <c r="G10" s="38">
        <f>5.95*'Dét. échoppes'!$J$1</f>
        <v>10.115</v>
      </c>
      <c r="H10" s="38">
        <f t="shared" si="0"/>
        <v>0</v>
      </c>
      <c r="I10" s="39"/>
    </row>
    <row r="11" spans="1:9" ht="15" customHeight="1">
      <c r="A11" s="27"/>
      <c r="B11" t="s">
        <v>126</v>
      </c>
      <c r="G11" s="38"/>
      <c r="H11" s="38">
        <f t="shared" si="0"/>
        <v>0</v>
      </c>
      <c r="I11" s="39"/>
    </row>
    <row r="12" spans="1:9" ht="15" customHeight="1">
      <c r="A12" s="88"/>
      <c r="B12" t="s">
        <v>276</v>
      </c>
      <c r="G12" s="38">
        <f>5.5*'Dét. échoppes'!$J$1</f>
        <v>9.35</v>
      </c>
      <c r="H12" s="38">
        <f t="shared" si="0"/>
        <v>0</v>
      </c>
      <c r="I12" s="39"/>
    </row>
    <row r="13" spans="1:9" ht="15" customHeight="1">
      <c r="A13" s="88"/>
      <c r="B13" t="s">
        <v>432</v>
      </c>
      <c r="G13" s="38">
        <f>7.2*'Dét. échoppes'!$J$1</f>
        <v>12.24</v>
      </c>
      <c r="H13" s="38">
        <f t="shared" si="0"/>
        <v>0</v>
      </c>
      <c r="I13" s="39"/>
    </row>
    <row r="14" spans="1:9" ht="15" customHeight="1">
      <c r="A14" s="27"/>
      <c r="C14" t="s">
        <v>415</v>
      </c>
      <c r="G14" s="38"/>
      <c r="H14" s="38">
        <f t="shared" si="0"/>
        <v>0</v>
      </c>
      <c r="I14" s="39"/>
    </row>
    <row r="15" spans="1:9" ht="15" customHeight="1">
      <c r="A15" s="88"/>
      <c r="B15" t="s">
        <v>416</v>
      </c>
      <c r="G15" s="38">
        <f>9.25*'Dét. échoppes'!$J$1</f>
        <v>15.725</v>
      </c>
      <c r="H15" s="38">
        <f t="shared" si="0"/>
        <v>0</v>
      </c>
      <c r="I15" s="39"/>
    </row>
    <row r="16" spans="1:9" ht="15" customHeight="1">
      <c r="A16" s="27"/>
      <c r="C16" t="s">
        <v>417</v>
      </c>
      <c r="G16" s="38"/>
      <c r="H16" s="38"/>
      <c r="I16" s="39"/>
    </row>
    <row r="17" spans="1:9" ht="15" customHeight="1">
      <c r="A17" s="58"/>
      <c r="B17" t="s">
        <v>127</v>
      </c>
      <c r="G17" s="38">
        <f>9.95*'Dét. échoppes'!$J$1</f>
        <v>16.915</v>
      </c>
      <c r="H17" s="38">
        <f t="shared" si="0"/>
        <v>0</v>
      </c>
      <c r="I17" s="39"/>
    </row>
    <row r="18" spans="1:9" ht="15" customHeight="1">
      <c r="A18" s="27"/>
      <c r="B18" t="s">
        <v>128</v>
      </c>
      <c r="G18" s="38"/>
      <c r="H18" s="38">
        <f t="shared" si="0"/>
        <v>0</v>
      </c>
      <c r="I18" s="39"/>
    </row>
    <row r="19" spans="1:9" ht="15" customHeight="1">
      <c r="A19" s="27"/>
      <c r="B19" t="s">
        <v>129</v>
      </c>
      <c r="G19" s="38"/>
      <c r="H19" s="38">
        <f t="shared" si="0"/>
        <v>0</v>
      </c>
      <c r="I19" s="39"/>
    </row>
    <row r="20" spans="1:9" ht="15" customHeight="1">
      <c r="A20" s="88"/>
      <c r="B20" t="s">
        <v>200</v>
      </c>
      <c r="G20" s="38">
        <f>8.5*'Dét. échoppes'!$J$1</f>
        <v>14.45</v>
      </c>
      <c r="H20" s="38">
        <f t="shared" si="0"/>
        <v>0</v>
      </c>
      <c r="I20" s="39"/>
    </row>
    <row r="21" spans="1:9" ht="15" customHeight="1">
      <c r="A21" s="58"/>
      <c r="B21" t="s">
        <v>372</v>
      </c>
      <c r="G21" s="38">
        <f>6.35*'Dét. échoppes'!$J$1</f>
        <v>10.795</v>
      </c>
      <c r="H21" s="38">
        <f t="shared" si="0"/>
        <v>0</v>
      </c>
      <c r="I21" s="39"/>
    </row>
    <row r="22" spans="1:9" ht="15" customHeight="1">
      <c r="A22" s="27"/>
      <c r="B22" t="s">
        <v>386</v>
      </c>
      <c r="G22" s="38"/>
      <c r="H22" s="38">
        <f t="shared" si="0"/>
        <v>0</v>
      </c>
      <c r="I22" s="39"/>
    </row>
    <row r="23" spans="1:9" ht="15" customHeight="1">
      <c r="A23" s="58"/>
      <c r="B23" s="89" t="s">
        <v>277</v>
      </c>
      <c r="C23" s="27"/>
      <c r="D23" s="27"/>
      <c r="E23" s="27"/>
      <c r="F23" s="27"/>
      <c r="G23" s="38">
        <f>7.5*'Dét. échoppes'!$J$1</f>
        <v>12.75</v>
      </c>
      <c r="H23" s="38">
        <f>G23*A23</f>
        <v>0</v>
      </c>
      <c r="I23" s="39"/>
    </row>
    <row r="24" spans="1:9" ht="15" customHeight="1">
      <c r="A24" s="58"/>
      <c r="B24" t="s">
        <v>278</v>
      </c>
      <c r="G24" s="38">
        <f>7*'Dét. échoppes'!$J$1</f>
        <v>11.9</v>
      </c>
      <c r="H24" s="38">
        <f t="shared" si="0"/>
        <v>0</v>
      </c>
      <c r="I24" s="39"/>
    </row>
    <row r="25" spans="1:9" ht="15" customHeight="1">
      <c r="A25" s="27"/>
      <c r="C25" t="s">
        <v>130</v>
      </c>
      <c r="G25" s="38"/>
      <c r="H25" s="38">
        <f t="shared" si="0"/>
        <v>0</v>
      </c>
      <c r="I25" s="39"/>
    </row>
    <row r="26" spans="1:9" ht="15" customHeight="1">
      <c r="A26" s="58"/>
      <c r="B26" t="s">
        <v>131</v>
      </c>
      <c r="G26" s="38">
        <f>6.5*'Dét. échoppes'!$J$1</f>
        <v>11.049999999999999</v>
      </c>
      <c r="H26" s="38">
        <f t="shared" si="0"/>
        <v>0</v>
      </c>
      <c r="I26" s="39"/>
    </row>
    <row r="27" spans="1:9" ht="15" customHeight="1">
      <c r="A27" s="27"/>
      <c r="C27" t="s">
        <v>279</v>
      </c>
      <c r="G27" s="38"/>
      <c r="H27" s="38">
        <f t="shared" si="0"/>
        <v>0</v>
      </c>
      <c r="I27" s="39"/>
    </row>
    <row r="28" spans="1:9" ht="18.75">
      <c r="A28" s="58"/>
      <c r="B28" t="s">
        <v>433</v>
      </c>
      <c r="G28" s="38">
        <f>8.25*'Dét. échoppes'!$J$1</f>
        <v>14.025</v>
      </c>
      <c r="H28" s="38">
        <f t="shared" si="0"/>
        <v>0</v>
      </c>
      <c r="I28" s="39"/>
    </row>
    <row r="29" spans="1:9" ht="18.75">
      <c r="A29" s="55" t="s">
        <v>132</v>
      </c>
      <c r="C29" s="38">
        <f>SUM(H30:H40)</f>
        <v>0</v>
      </c>
      <c r="E29" t="s">
        <v>434</v>
      </c>
      <c r="G29" s="38">
        <v>0</v>
      </c>
      <c r="H29" s="38"/>
      <c r="I29" s="39"/>
    </row>
    <row r="30" spans="1:9" ht="15" customHeight="1">
      <c r="A30" s="79">
        <f>C2</f>
        <v>0</v>
      </c>
      <c r="B30" t="s">
        <v>280</v>
      </c>
      <c r="G30" s="38">
        <f>2*'Dét. échoppes'!$J$1</f>
        <v>3.4</v>
      </c>
      <c r="H30" s="38">
        <f t="shared" si="0"/>
        <v>0</v>
      </c>
      <c r="I30" s="39"/>
    </row>
    <row r="31" spans="1:9" ht="15" customHeight="1">
      <c r="A31" s="58"/>
      <c r="B31" t="s">
        <v>281</v>
      </c>
      <c r="G31" s="38">
        <f>(((6.51*1.21)*0.2)*3)*'Dét. échoppes'!$J$1</f>
        <v>8.034642</v>
      </c>
      <c r="H31" s="38">
        <f t="shared" si="0"/>
        <v>0</v>
      </c>
      <c r="I31" s="39"/>
    </row>
    <row r="32" spans="1:9" ht="15" customHeight="1">
      <c r="A32" s="58"/>
      <c r="B32" t="s">
        <v>373</v>
      </c>
      <c r="G32" s="38">
        <f>4*'Dét. échoppes'!$J$1</f>
        <v>6.8</v>
      </c>
      <c r="H32" s="38">
        <f t="shared" si="0"/>
        <v>0</v>
      </c>
      <c r="I32" s="39"/>
    </row>
    <row r="33" spans="1:9" ht="15" customHeight="1">
      <c r="A33" s="80">
        <f>IF(Information!$A$38="x",'Repas chaud'!$C$1,0)</f>
        <v>0</v>
      </c>
      <c r="B33" t="s">
        <v>282</v>
      </c>
      <c r="G33" s="38">
        <f>4.9*'Dét. échoppes'!$J$1</f>
        <v>8.33</v>
      </c>
      <c r="H33" s="38">
        <f t="shared" si="0"/>
        <v>0</v>
      </c>
      <c r="I33" s="39"/>
    </row>
    <row r="34" spans="1:9" ht="15" customHeight="1">
      <c r="A34" s="58"/>
      <c r="B34" t="s">
        <v>133</v>
      </c>
      <c r="G34" s="38">
        <f>6.2*'Dét. échoppes'!$J$1</f>
        <v>10.54</v>
      </c>
      <c r="H34" s="38">
        <f t="shared" si="0"/>
        <v>0</v>
      </c>
      <c r="I34" s="39"/>
    </row>
    <row r="35" spans="1:9" ht="15" customHeight="1">
      <c r="A35" s="58"/>
      <c r="B35" t="s">
        <v>435</v>
      </c>
      <c r="G35" s="38">
        <f>6.2*'Dét. échoppes'!$J$1</f>
        <v>10.54</v>
      </c>
      <c r="H35" s="38">
        <f t="shared" si="0"/>
        <v>0</v>
      </c>
      <c r="I35" s="39"/>
    </row>
    <row r="36" spans="1:9" ht="15" customHeight="1">
      <c r="A36" s="58"/>
      <c r="B36" t="s">
        <v>134</v>
      </c>
      <c r="G36" s="38">
        <f>7.1*'Dét. échoppes'!$J$1</f>
        <v>12.069999999999999</v>
      </c>
      <c r="H36" s="38">
        <f t="shared" si="0"/>
        <v>0</v>
      </c>
      <c r="I36" s="39"/>
    </row>
    <row r="37" spans="1:9" ht="15" customHeight="1">
      <c r="A37" s="80"/>
      <c r="B37" t="s">
        <v>436</v>
      </c>
      <c r="G37" s="38">
        <f>7.65*'Dét. échoppes'!$J$1</f>
        <v>13.005</v>
      </c>
      <c r="H37" s="38">
        <f t="shared" si="0"/>
        <v>0</v>
      </c>
      <c r="I37" s="39"/>
    </row>
    <row r="38" spans="1:9" ht="15" customHeight="1">
      <c r="A38" s="58"/>
      <c r="B38" s="89" t="s">
        <v>283</v>
      </c>
      <c r="G38" s="38">
        <f>8.25*'Dét. échoppes'!$J$1</f>
        <v>14.025</v>
      </c>
      <c r="H38" s="38">
        <f t="shared" si="0"/>
        <v>0</v>
      </c>
      <c r="I38" s="39"/>
    </row>
    <row r="39" spans="1:9" ht="15" customHeight="1">
      <c r="A39" s="58"/>
      <c r="B39" s="89" t="s">
        <v>284</v>
      </c>
      <c r="G39" s="38">
        <f>7.25*'Dét. échoppes'!$J$1</f>
        <v>12.325</v>
      </c>
      <c r="H39" s="38">
        <f t="shared" si="0"/>
        <v>0</v>
      </c>
      <c r="I39" s="39"/>
    </row>
    <row r="40" spans="1:9" ht="15" customHeight="1">
      <c r="A40" s="58"/>
      <c r="B40" t="s">
        <v>135</v>
      </c>
      <c r="G40" s="38">
        <f>8.1*'Dét. échoppes'!$J$1</f>
        <v>13.77</v>
      </c>
      <c r="H40" s="38">
        <f t="shared" si="0"/>
        <v>0</v>
      </c>
      <c r="I40" s="39"/>
    </row>
    <row r="41" spans="1:9" ht="18.75">
      <c r="A41" s="55" t="s">
        <v>136</v>
      </c>
      <c r="C41" s="38">
        <f>SUM(H42:H46)</f>
        <v>0</v>
      </c>
      <c r="G41" s="38"/>
      <c r="H41" s="38"/>
      <c r="I41" s="39"/>
    </row>
    <row r="42" spans="1:9" ht="15" customHeight="1">
      <c r="A42" s="58"/>
      <c r="B42" t="s">
        <v>201</v>
      </c>
      <c r="G42" s="38">
        <f>2*'Dét. échoppes'!$J$1</f>
        <v>3.4</v>
      </c>
      <c r="H42" s="38">
        <f t="shared" si="0"/>
        <v>0</v>
      </c>
      <c r="I42" s="39"/>
    </row>
    <row r="43" spans="1:9" ht="15" customHeight="1">
      <c r="A43" s="80">
        <f>IF(Information!$A$39="x",'Repas chaud'!$C$1,0)</f>
        <v>0</v>
      </c>
      <c r="B43" t="s">
        <v>437</v>
      </c>
      <c r="G43" s="38">
        <f>2*'Dét. échoppes'!$J$1</f>
        <v>3.4</v>
      </c>
      <c r="H43" s="38">
        <f t="shared" si="0"/>
        <v>0</v>
      </c>
      <c r="I43" s="39"/>
    </row>
    <row r="44" spans="1:9" ht="15" customHeight="1">
      <c r="A44" s="80"/>
      <c r="B44" t="s">
        <v>137</v>
      </c>
      <c r="G44" s="38">
        <f>2*'Dét. échoppes'!$J$1</f>
        <v>3.4</v>
      </c>
      <c r="H44" s="38">
        <f t="shared" si="0"/>
        <v>0</v>
      </c>
      <c r="I44" s="39"/>
    </row>
    <row r="45" spans="1:9" ht="15" customHeight="1">
      <c r="A45" s="58"/>
      <c r="B45" t="s">
        <v>285</v>
      </c>
      <c r="G45" s="38">
        <f>2*'Dét. échoppes'!$J$1</f>
        <v>3.4</v>
      </c>
      <c r="H45" s="38">
        <f t="shared" si="0"/>
        <v>0</v>
      </c>
      <c r="I45" s="39"/>
    </row>
    <row r="46" spans="1:9" ht="15" customHeight="1">
      <c r="A46" s="58"/>
      <c r="B46" t="s">
        <v>286</v>
      </c>
      <c r="G46" s="38">
        <f>2*'Dét. échoppes'!$J$1</f>
        <v>3.4</v>
      </c>
      <c r="H46" s="38">
        <f t="shared" si="0"/>
        <v>0</v>
      </c>
      <c r="I46" s="39"/>
    </row>
    <row r="47" spans="1:9" ht="15" customHeight="1">
      <c r="A47" s="80"/>
      <c r="B47" t="s">
        <v>138</v>
      </c>
      <c r="G47" s="38">
        <f>3*'Dét. échoppes'!$J$1</f>
        <v>5.1</v>
      </c>
      <c r="H47" s="38">
        <f t="shared" si="0"/>
        <v>0</v>
      </c>
      <c r="I47" s="39"/>
    </row>
    <row r="48" spans="1:9" ht="18.75">
      <c r="A48" s="55" t="s">
        <v>139</v>
      </c>
      <c r="C48" s="38">
        <f>SUM(H49:H52)</f>
        <v>0</v>
      </c>
      <c r="G48" s="38"/>
      <c r="H48" s="38"/>
      <c r="I48" s="39"/>
    </row>
    <row r="49" spans="1:15" ht="15" customHeight="1">
      <c r="A49" s="58"/>
      <c r="B49" t="s">
        <v>287</v>
      </c>
      <c r="G49" s="38">
        <f>1.5*'Dét. échoppes'!$J$1</f>
        <v>2.55</v>
      </c>
      <c r="H49" s="38">
        <f t="shared" si="0"/>
        <v>0</v>
      </c>
      <c r="I49" s="39"/>
      <c r="K49" s="25" t="s">
        <v>591</v>
      </c>
      <c r="M49" s="142" t="s">
        <v>577</v>
      </c>
      <c r="O49" s="81"/>
    </row>
    <row r="50" spans="1:13" ht="15" customHeight="1">
      <c r="A50" s="80">
        <f>IF(Information!$A$40="x",'Repas chaud'!$C$1,0)</f>
        <v>0</v>
      </c>
      <c r="B50" t="s">
        <v>288</v>
      </c>
      <c r="G50" s="38">
        <f>1.5*'Dét. échoppes'!$J$1</f>
        <v>2.55</v>
      </c>
      <c r="H50" s="38">
        <f t="shared" si="0"/>
        <v>0</v>
      </c>
      <c r="I50" s="39"/>
      <c r="M50" s="141" t="s">
        <v>578</v>
      </c>
    </row>
    <row r="51" spans="1:13" ht="15" customHeight="1">
      <c r="A51" s="80"/>
      <c r="B51" t="s">
        <v>289</v>
      </c>
      <c r="G51" s="38">
        <f>1.5*'Dét. échoppes'!$J$1</f>
        <v>2.55</v>
      </c>
      <c r="H51" s="38">
        <f t="shared" si="0"/>
        <v>0</v>
      </c>
      <c r="I51" s="39"/>
      <c r="M51" s="141" t="s">
        <v>579</v>
      </c>
    </row>
    <row r="52" spans="1:13" ht="15" customHeight="1">
      <c r="A52" s="58"/>
      <c r="B52" t="s">
        <v>290</v>
      </c>
      <c r="G52" s="38">
        <f>1.5*'Dét. échoppes'!$J$1</f>
        <v>2.55</v>
      </c>
      <c r="H52" s="38">
        <f t="shared" si="0"/>
        <v>0</v>
      </c>
      <c r="I52" s="39"/>
      <c r="M52" s="141" t="s">
        <v>580</v>
      </c>
    </row>
    <row r="53" spans="1:13" ht="45">
      <c r="A53" s="55" t="s">
        <v>142</v>
      </c>
      <c r="C53" s="38">
        <f>SUM(H54:H72)</f>
        <v>0</v>
      </c>
      <c r="G53" s="38"/>
      <c r="H53" s="38"/>
      <c r="I53" s="39"/>
      <c r="M53" s="141" t="s">
        <v>581</v>
      </c>
    </row>
    <row r="54" spans="1:13" ht="15" customHeight="1">
      <c r="A54" s="79">
        <f>$C$2</f>
        <v>0</v>
      </c>
      <c r="B54" t="s">
        <v>545</v>
      </c>
      <c r="G54" s="38">
        <f>4*'Dét. échoppes'!$J$1</f>
        <v>6.8</v>
      </c>
      <c r="H54" s="38">
        <f t="shared" si="0"/>
        <v>0</v>
      </c>
      <c r="I54" s="39"/>
      <c r="M54" s="141" t="s">
        <v>582</v>
      </c>
    </row>
    <row r="55" spans="1:13" ht="15" customHeight="1">
      <c r="A55" s="80"/>
      <c r="B55" t="s">
        <v>291</v>
      </c>
      <c r="G55" s="38">
        <f>5.5*'Dét. échoppes'!$J$1</f>
        <v>9.35</v>
      </c>
      <c r="H55" s="38">
        <f t="shared" si="0"/>
        <v>0</v>
      </c>
      <c r="I55" s="39"/>
      <c r="M55" s="141" t="s">
        <v>583</v>
      </c>
    </row>
    <row r="56" spans="2:13" ht="15" customHeight="1">
      <c r="B56" t="s">
        <v>144</v>
      </c>
      <c r="G56" s="38"/>
      <c r="H56" s="38">
        <f t="shared" si="0"/>
        <v>0</v>
      </c>
      <c r="I56" s="39"/>
      <c r="M56" s="141" t="s">
        <v>584</v>
      </c>
    </row>
    <row r="57" spans="1:13" ht="15" customHeight="1">
      <c r="A57" s="80"/>
      <c r="B57" t="s">
        <v>145</v>
      </c>
      <c r="G57" s="38">
        <f>5.7*'Dét. échoppes'!$J$1</f>
        <v>9.69</v>
      </c>
      <c r="H57" s="38">
        <f t="shared" si="0"/>
        <v>0</v>
      </c>
      <c r="I57" s="39"/>
      <c r="M57" s="141" t="s">
        <v>585</v>
      </c>
    </row>
    <row r="58" spans="2:13" ht="15" customHeight="1">
      <c r="B58" t="s">
        <v>292</v>
      </c>
      <c r="G58" s="38"/>
      <c r="H58" s="38">
        <f t="shared" si="0"/>
        <v>0</v>
      </c>
      <c r="I58" s="39"/>
      <c r="M58" s="141" t="s">
        <v>586</v>
      </c>
    </row>
    <row r="59" spans="1:9" ht="15" customHeight="1">
      <c r="A59" s="58"/>
      <c r="B59" t="s">
        <v>146</v>
      </c>
      <c r="G59" s="38">
        <f>8.65*'Dét. échoppes'!$J$1</f>
        <v>14.705</v>
      </c>
      <c r="H59" s="38">
        <f t="shared" si="0"/>
        <v>0</v>
      </c>
      <c r="I59" s="39"/>
    </row>
    <row r="60" spans="2:13" ht="15" customHeight="1">
      <c r="B60" t="s">
        <v>293</v>
      </c>
      <c r="G60" s="38"/>
      <c r="H60" s="38">
        <f t="shared" si="0"/>
        <v>0</v>
      </c>
      <c r="I60" s="39"/>
      <c r="M60" s="142" t="s">
        <v>587</v>
      </c>
    </row>
    <row r="61" spans="1:13" ht="15" customHeight="1">
      <c r="A61" s="58"/>
      <c r="B61" t="s">
        <v>147</v>
      </c>
      <c r="G61" s="38">
        <f>8.65*'Dét. échoppes'!$J$1</f>
        <v>14.705</v>
      </c>
      <c r="H61" s="38">
        <f t="shared" si="0"/>
        <v>0</v>
      </c>
      <c r="I61" s="39"/>
      <c r="M61" s="141" t="s">
        <v>141</v>
      </c>
    </row>
    <row r="62" spans="1:13" ht="15" customHeight="1">
      <c r="A62" s="58"/>
      <c r="B62" t="s">
        <v>374</v>
      </c>
      <c r="G62" s="38">
        <f>9.5*'Dét. échoppes'!$J$1</f>
        <v>16.15</v>
      </c>
      <c r="H62" s="38">
        <f t="shared" si="0"/>
        <v>0</v>
      </c>
      <c r="I62" s="39"/>
      <c r="M62" s="141" t="s">
        <v>588</v>
      </c>
    </row>
    <row r="63" spans="1:13" ht="15" customHeight="1">
      <c r="A63" s="58"/>
      <c r="B63" t="s">
        <v>294</v>
      </c>
      <c r="G63" s="38">
        <f>11*'Dét. échoppes'!$J$1</f>
        <v>18.7</v>
      </c>
      <c r="H63" s="38">
        <f t="shared" si="0"/>
        <v>0</v>
      </c>
      <c r="I63" s="39"/>
      <c r="M63" s="141" t="s">
        <v>589</v>
      </c>
    </row>
    <row r="64" spans="1:13" ht="15" customHeight="1">
      <c r="A64" s="80">
        <f>IF(Information!$A$41="x",'Repas chaud'!$C$1,0)</f>
        <v>0</v>
      </c>
      <c r="B64" t="s">
        <v>510</v>
      </c>
      <c r="G64" s="38">
        <f>8.95*'Dét. échoppes'!$J$1</f>
        <v>15.214999999999998</v>
      </c>
      <c r="H64" s="38">
        <f t="shared" si="0"/>
        <v>0</v>
      </c>
      <c r="I64" s="39"/>
      <c r="M64" s="141" t="s">
        <v>143</v>
      </c>
    </row>
    <row r="65" spans="1:13" ht="15" customHeight="1">
      <c r="A65" s="58"/>
      <c r="B65" t="s">
        <v>375</v>
      </c>
      <c r="G65" s="38">
        <f>8.8*'Dét. échoppes'!$J$1</f>
        <v>14.96</v>
      </c>
      <c r="H65" s="38">
        <f t="shared" si="0"/>
        <v>0</v>
      </c>
      <c r="I65" s="39"/>
      <c r="M65" s="141" t="s">
        <v>590</v>
      </c>
    </row>
    <row r="66" spans="1:9" ht="15" customHeight="1">
      <c r="A66" s="80"/>
      <c r="B66" t="s">
        <v>376</v>
      </c>
      <c r="G66" s="38">
        <f>7.85*'Dét. échoppes'!$J$1</f>
        <v>13.344999999999999</v>
      </c>
      <c r="H66" s="38">
        <f t="shared" si="0"/>
        <v>0</v>
      </c>
      <c r="I66" s="39"/>
    </row>
    <row r="67" spans="1:9" ht="15" customHeight="1">
      <c r="A67" s="58"/>
      <c r="B67" t="s">
        <v>295</v>
      </c>
      <c r="G67" s="38">
        <f>8.75*'Dét. échoppes'!$J$1</f>
        <v>14.875</v>
      </c>
      <c r="H67" s="38">
        <f t="shared" si="0"/>
        <v>0</v>
      </c>
      <c r="I67" s="39"/>
    </row>
    <row r="68" spans="1:9" ht="15" customHeight="1">
      <c r="A68" s="58"/>
      <c r="B68" s="27" t="s">
        <v>377</v>
      </c>
      <c r="C68" s="27"/>
      <c r="D68" s="27"/>
      <c r="E68" s="27"/>
      <c r="F68" s="27"/>
      <c r="G68" s="93">
        <f>8.5*'Dét. échoppes'!$J$1</f>
        <v>14.45</v>
      </c>
      <c r="H68" s="93">
        <f t="shared" si="0"/>
        <v>0</v>
      </c>
      <c r="I68" s="39"/>
    </row>
    <row r="69" spans="1:9" ht="15" customHeight="1">
      <c r="A69" s="27"/>
      <c r="B69" s="27"/>
      <c r="C69" s="27" t="s">
        <v>296</v>
      </c>
      <c r="D69" s="27"/>
      <c r="E69" s="27"/>
      <c r="F69" s="27"/>
      <c r="G69" s="93"/>
      <c r="H69" s="93"/>
      <c r="I69" s="39"/>
    </row>
    <row r="70" spans="1:9" ht="15" customHeight="1">
      <c r="A70" s="27"/>
      <c r="B70" s="27"/>
      <c r="C70" s="27" t="s">
        <v>202</v>
      </c>
      <c r="D70" s="27"/>
      <c r="E70" s="27"/>
      <c r="F70" s="27"/>
      <c r="G70" s="93"/>
      <c r="H70" s="93"/>
      <c r="I70" s="39"/>
    </row>
    <row r="71" spans="1:9" ht="15" customHeight="1">
      <c r="A71" s="58"/>
      <c r="B71" t="s">
        <v>148</v>
      </c>
      <c r="G71" s="38">
        <f>10.5*'Dét. échoppes'!$J$1</f>
        <v>17.849999999999998</v>
      </c>
      <c r="H71" s="38">
        <f t="shared" si="0"/>
        <v>0</v>
      </c>
      <c r="I71" s="39"/>
    </row>
    <row r="72" spans="3:9" ht="15" customHeight="1">
      <c r="C72" t="s">
        <v>67</v>
      </c>
      <c r="G72" s="38"/>
      <c r="H72" s="38">
        <f t="shared" si="0"/>
        <v>0</v>
      </c>
      <c r="I72" s="39"/>
    </row>
    <row r="73" spans="1:9" ht="18.75">
      <c r="A73" s="55" t="s">
        <v>149</v>
      </c>
      <c r="C73" s="38">
        <f>SUM(H73:H74)</f>
        <v>0</v>
      </c>
      <c r="G73" s="38"/>
      <c r="H73" s="38"/>
      <c r="I73" s="39"/>
    </row>
    <row r="74" spans="1:9" ht="15" customHeight="1">
      <c r="A74" s="80">
        <f>IF(Information!$A$42="x",'Repas chaud'!$C$1,0)</f>
        <v>0</v>
      </c>
      <c r="B74" t="s">
        <v>438</v>
      </c>
      <c r="G74" s="38">
        <f>4.35*'Dét. échoppes'!$J$1</f>
        <v>7.395</v>
      </c>
      <c r="H74" s="38">
        <f t="shared" si="0"/>
        <v>0</v>
      </c>
      <c r="I74" s="39"/>
    </row>
    <row r="75" spans="1:9" ht="18.75">
      <c r="A75" s="55" t="s">
        <v>150</v>
      </c>
      <c r="C75" s="38">
        <f>SUM(H76:H85)</f>
        <v>0</v>
      </c>
      <c r="G75" s="38"/>
      <c r="H75" s="38"/>
      <c r="I75" s="39"/>
    </row>
    <row r="76" spans="1:9" ht="15" customHeight="1">
      <c r="A76" s="56"/>
      <c r="B76" t="s">
        <v>140</v>
      </c>
      <c r="G76" s="38">
        <f>1.5*'Dét. échoppes'!$J$1</f>
        <v>2.55</v>
      </c>
      <c r="H76" s="38">
        <f t="shared" si="0"/>
        <v>0</v>
      </c>
      <c r="I76" s="39"/>
    </row>
    <row r="77" spans="1:9" ht="15" customHeight="1">
      <c r="A77" s="79"/>
      <c r="B77" t="s">
        <v>34</v>
      </c>
      <c r="D77" t="s">
        <v>509</v>
      </c>
      <c r="G77" s="38">
        <f>3.1*'Dét. échoppes'!$J$1</f>
        <v>5.27</v>
      </c>
      <c r="H77" s="38">
        <f t="shared" si="0"/>
        <v>0</v>
      </c>
      <c r="I77" s="39"/>
    </row>
    <row r="78" spans="1:9" ht="15" customHeight="1">
      <c r="A78" s="56"/>
      <c r="B78" t="s">
        <v>151</v>
      </c>
      <c r="G78" s="38">
        <f>4.55*'Dét. échoppes'!$J$1</f>
        <v>7.734999999999999</v>
      </c>
      <c r="H78" s="38">
        <f t="shared" si="0"/>
        <v>0</v>
      </c>
      <c r="I78" s="39"/>
    </row>
    <row r="79" spans="1:9" ht="15" customHeight="1">
      <c r="A79" s="56"/>
      <c r="B79" t="s">
        <v>235</v>
      </c>
      <c r="G79" s="38">
        <f>3.5*'Dét. échoppes'!$J$1</f>
        <v>5.95</v>
      </c>
      <c r="H79" s="38">
        <f t="shared" si="0"/>
        <v>0</v>
      </c>
      <c r="I79" s="39"/>
    </row>
    <row r="80" spans="1:9" ht="15" customHeight="1">
      <c r="A80" s="80">
        <f>IF(Information!$A$43="x",'Repas chaud'!$C$1,0)</f>
        <v>0</v>
      </c>
      <c r="B80" t="s">
        <v>511</v>
      </c>
      <c r="G80" s="38">
        <f>2.8*'Dét. échoppes'!$J$1</f>
        <v>4.76</v>
      </c>
      <c r="H80" s="38">
        <f t="shared" si="0"/>
        <v>0</v>
      </c>
      <c r="I80" s="39"/>
    </row>
    <row r="81" spans="1:9" ht="15" customHeight="1">
      <c r="A81" s="56"/>
      <c r="B81" t="s">
        <v>418</v>
      </c>
      <c r="G81" s="38">
        <f>2.8*'Dét. échoppes'!$J$1</f>
        <v>4.76</v>
      </c>
      <c r="H81" s="38">
        <f t="shared" si="0"/>
        <v>0</v>
      </c>
      <c r="I81" s="39"/>
    </row>
    <row r="82" spans="1:9" ht="15" customHeight="1">
      <c r="A82" s="58"/>
      <c r="B82" t="s">
        <v>423</v>
      </c>
      <c r="G82" s="38">
        <f>2.8*'Dét. échoppes'!$J$1</f>
        <v>4.76</v>
      </c>
      <c r="H82" s="38">
        <f t="shared" si="0"/>
        <v>0</v>
      </c>
      <c r="I82" s="39"/>
    </row>
    <row r="83" spans="1:9" ht="15" customHeight="1">
      <c r="A83" s="58"/>
      <c r="B83" t="s">
        <v>378</v>
      </c>
      <c r="G83" s="38">
        <f>3*'Dét. échoppes'!$J$1</f>
        <v>5.1</v>
      </c>
      <c r="H83" s="38">
        <f t="shared" si="0"/>
        <v>0</v>
      </c>
      <c r="I83" s="39"/>
    </row>
    <row r="84" spans="1:9" ht="15" customHeight="1">
      <c r="A84" s="58"/>
      <c r="B84" s="27" t="s">
        <v>297</v>
      </c>
      <c r="C84" s="27"/>
      <c r="D84" s="27"/>
      <c r="E84" s="27"/>
      <c r="F84" s="27"/>
      <c r="G84" s="38">
        <f>2.8*'Dét. échoppes'!$J$1</f>
        <v>4.76</v>
      </c>
      <c r="H84" s="38">
        <f t="shared" si="0"/>
        <v>0</v>
      </c>
      <c r="I84" s="39"/>
    </row>
    <row r="85" spans="1:9" ht="15" customHeight="1">
      <c r="A85" s="58"/>
      <c r="B85" t="s">
        <v>298</v>
      </c>
      <c r="G85" s="38">
        <f>2.8*'Dét. échoppes'!$J$1</f>
        <v>4.76</v>
      </c>
      <c r="H85" s="38">
        <f t="shared" si="0"/>
        <v>0</v>
      </c>
      <c r="I85" s="39"/>
    </row>
    <row r="86" spans="1:9" ht="18.75">
      <c r="A86" s="55" t="s">
        <v>152</v>
      </c>
      <c r="C86" s="38">
        <f>SUM(H87:H89)</f>
        <v>0</v>
      </c>
      <c r="G86" s="38"/>
      <c r="H86" s="38"/>
      <c r="I86" s="39"/>
    </row>
    <row r="87" spans="1:9" ht="15" customHeight="1">
      <c r="A87" s="80">
        <f>IF(Information!$A$44="x",'Repas chaud'!$C$1,0)</f>
        <v>0</v>
      </c>
      <c r="B87" t="s">
        <v>153</v>
      </c>
      <c r="G87" s="38">
        <f>1.5*'Dét. échoppes'!$J$1</f>
        <v>2.55</v>
      </c>
      <c r="H87" s="38">
        <f t="shared" si="0"/>
        <v>0</v>
      </c>
      <c r="I87" s="39"/>
    </row>
    <row r="88" spans="1:9" ht="15" customHeight="1">
      <c r="A88" s="80">
        <f>IF(Information!$A$45="x",'Repas chaud'!$C$1,0)</f>
        <v>0</v>
      </c>
      <c r="B88" t="s">
        <v>299</v>
      </c>
      <c r="G88" s="38">
        <f>0.9*'Dét. échoppes'!$J$1</f>
        <v>1.53</v>
      </c>
      <c r="H88" s="38">
        <f t="shared" si="0"/>
        <v>0</v>
      </c>
      <c r="I88" s="39"/>
    </row>
    <row r="89" spans="1:9" ht="18.75">
      <c r="A89" s="54"/>
      <c r="G89" s="38"/>
      <c r="H89" s="38">
        <f t="shared" si="0"/>
        <v>0</v>
      </c>
      <c r="I89" s="39"/>
    </row>
    <row r="90" spans="1:9" ht="18.75">
      <c r="A90" s="55" t="s">
        <v>70</v>
      </c>
      <c r="C90" s="38">
        <f>SUM(H91:H97)</f>
        <v>0</v>
      </c>
      <c r="G90" s="38"/>
      <c r="H90" s="38"/>
      <c r="I90" s="39"/>
    </row>
    <row r="91" spans="1:9" ht="13.5" customHeight="1">
      <c r="A91" s="58">
        <f>IF(Information!$D$41=3,'Repas chaud'!$C$1,0)</f>
        <v>0</v>
      </c>
      <c r="B91" t="s">
        <v>300</v>
      </c>
      <c r="G91" s="38">
        <f>1.8*'Dét. échoppes'!$J$1</f>
        <v>3.06</v>
      </c>
      <c r="H91" s="38">
        <f t="shared" si="0"/>
        <v>0</v>
      </c>
      <c r="I91" s="39"/>
    </row>
    <row r="92" spans="1:9" ht="13.5" customHeight="1">
      <c r="A92" s="58">
        <f>IF(Information!$D$41=4,'Repas chaud'!$C$1,0)</f>
        <v>0</v>
      </c>
      <c r="B92" t="s">
        <v>301</v>
      </c>
      <c r="G92" s="38">
        <f>2.3*'Dét. échoppes'!$J$1</f>
        <v>3.9099999999999997</v>
      </c>
      <c r="H92" s="38">
        <f aca="true" t="shared" si="1" ref="H92:H109">G92*A92</f>
        <v>0</v>
      </c>
      <c r="I92" s="39"/>
    </row>
    <row r="93" spans="1:9" ht="13.5" customHeight="1">
      <c r="A93" s="58">
        <f>IF(Information!$D$41=5,'Repas chaud'!$C$1,0)</f>
        <v>0</v>
      </c>
      <c r="B93" t="s">
        <v>302</v>
      </c>
      <c r="G93" s="38">
        <f>2.8*'Dét. échoppes'!$J$1</f>
        <v>4.76</v>
      </c>
      <c r="H93" s="38">
        <f t="shared" si="1"/>
        <v>0</v>
      </c>
      <c r="I93" s="39"/>
    </row>
    <row r="94" spans="1:9" ht="13.5" customHeight="1">
      <c r="A94" s="58">
        <f>IF(Information!$D$41=6,'Repas chaud'!$C$1,0)</f>
        <v>0</v>
      </c>
      <c r="B94" t="s">
        <v>303</v>
      </c>
      <c r="G94" s="38">
        <f>3.2*'Dét. échoppes'!$J$1</f>
        <v>5.44</v>
      </c>
      <c r="H94" s="38">
        <f t="shared" si="1"/>
        <v>0</v>
      </c>
      <c r="I94" s="39"/>
    </row>
    <row r="95" spans="1:9" ht="13.5" customHeight="1">
      <c r="A95" s="58">
        <f>IF(Information!$D$41=7,'Repas chaud'!$C$1,0)</f>
        <v>0</v>
      </c>
      <c r="B95" t="s">
        <v>304</v>
      </c>
      <c r="G95" s="38">
        <f>3.7*'Dét. échoppes'!$J$1</f>
        <v>6.29</v>
      </c>
      <c r="H95" s="38">
        <f t="shared" si="1"/>
        <v>0</v>
      </c>
      <c r="I95" s="39"/>
    </row>
    <row r="96" spans="1:9" ht="13.5" customHeight="1">
      <c r="A96" s="58">
        <f>IF(Information!$D$41=8,'Repas chaud'!$C$1,0)</f>
        <v>0</v>
      </c>
      <c r="B96" t="s">
        <v>305</v>
      </c>
      <c r="G96" s="38">
        <f>4.2*'Dét. échoppes'!$J$1</f>
        <v>7.14</v>
      </c>
      <c r="H96" s="38">
        <f t="shared" si="1"/>
        <v>0</v>
      </c>
      <c r="I96" s="39"/>
    </row>
    <row r="97" ht="12.75">
      <c r="H97" s="38">
        <f t="shared" si="1"/>
        <v>0</v>
      </c>
    </row>
    <row r="98" spans="1:9" ht="18.75">
      <c r="A98" s="55" t="s">
        <v>73</v>
      </c>
      <c r="C98" s="38">
        <f>SUM(H98:H103)</f>
        <v>0</v>
      </c>
      <c r="G98" s="38"/>
      <c r="H98" s="38"/>
      <c r="I98" s="39"/>
    </row>
    <row r="99" spans="1:9" ht="12" customHeight="1">
      <c r="A99" s="80">
        <f>IF(Information!Q49&lt;&gt;0,C1+C2,0)</f>
        <v>0</v>
      </c>
      <c r="B99" s="26">
        <f>Information!D41</f>
        <v>0</v>
      </c>
      <c r="C99" t="s">
        <v>74</v>
      </c>
      <c r="F99" t="s">
        <v>154</v>
      </c>
      <c r="G99" s="38"/>
      <c r="H99" s="38">
        <f>(A99/B100)*(B99+2)*B101</f>
        <v>0</v>
      </c>
      <c r="I99" s="39"/>
    </row>
    <row r="100" spans="2:9" ht="12" customHeight="1">
      <c r="B100" s="26">
        <f>IF(SUM(Information!E49:E52)=0,0.01,SUM(Information!E49:E52))</f>
        <v>0.01</v>
      </c>
      <c r="C100" t="s">
        <v>155</v>
      </c>
      <c r="F100" t="s">
        <v>156</v>
      </c>
      <c r="G100" s="38"/>
      <c r="H100" s="38">
        <f t="shared" si="1"/>
        <v>0</v>
      </c>
      <c r="I100" s="39"/>
    </row>
    <row r="101" spans="2:9" ht="12" customHeight="1">
      <c r="B101" s="26">
        <f>'Dét. échoppes'!K1</f>
        <v>32</v>
      </c>
      <c r="C101" t="s">
        <v>76</v>
      </c>
      <c r="F101" t="s">
        <v>157</v>
      </c>
      <c r="G101" s="38"/>
      <c r="H101" s="38">
        <f t="shared" si="1"/>
        <v>0</v>
      </c>
      <c r="I101" s="39"/>
    </row>
    <row r="102" spans="6:8" ht="12.75">
      <c r="F102" t="s">
        <v>158</v>
      </c>
      <c r="H102" s="38">
        <f t="shared" si="1"/>
        <v>0</v>
      </c>
    </row>
    <row r="103" ht="12.75">
      <c r="H103" s="38">
        <f t="shared" si="1"/>
        <v>0</v>
      </c>
    </row>
    <row r="104" spans="1:9" ht="18.75">
      <c r="A104" s="55" t="s">
        <v>52</v>
      </c>
      <c r="C104" s="38">
        <f>SUM(H105:H107)</f>
        <v>0</v>
      </c>
      <c r="G104" s="38"/>
      <c r="H104" s="38"/>
      <c r="I104" s="39"/>
    </row>
    <row r="105" spans="1:9" ht="12.75" customHeight="1">
      <c r="A105" s="58">
        <f>IF(Information!A30="x",'Repas chaud'!$C$1,0)</f>
        <v>0</v>
      </c>
      <c r="B105" t="s">
        <v>80</v>
      </c>
      <c r="G105" s="38">
        <f>3.5*'Dét. échoppes'!$J$1</f>
        <v>5.95</v>
      </c>
      <c r="H105" s="38">
        <f t="shared" si="1"/>
        <v>0</v>
      </c>
      <c r="I105" s="39"/>
    </row>
    <row r="106" spans="1:9" ht="12.75" customHeight="1">
      <c r="A106" s="58">
        <f>IF(Information!A31="x",'Repas chaud'!$C$1,0)</f>
        <v>0</v>
      </c>
      <c r="B106" t="s">
        <v>306</v>
      </c>
      <c r="G106" s="38">
        <f>6*'Dét. échoppes'!$J$1</f>
        <v>10.2</v>
      </c>
      <c r="H106" s="38">
        <f t="shared" si="1"/>
        <v>0</v>
      </c>
      <c r="I106" s="39"/>
    </row>
    <row r="107" spans="1:9" ht="12.75" customHeight="1">
      <c r="A107" s="58">
        <f>IF(Information!A32="x",'Repas chaud'!$C$1,0)</f>
        <v>0</v>
      </c>
      <c r="B107" t="s">
        <v>82</v>
      </c>
      <c r="G107" s="38">
        <f>10*'Dét. échoppes'!$J$1</f>
        <v>17</v>
      </c>
      <c r="H107" s="38">
        <f t="shared" si="1"/>
        <v>0</v>
      </c>
      <c r="I107" s="39"/>
    </row>
    <row r="108" spans="7:9" ht="12.75" customHeight="1">
      <c r="G108" s="38"/>
      <c r="H108" s="38">
        <f t="shared" si="1"/>
        <v>0</v>
      </c>
      <c r="I108" s="39"/>
    </row>
    <row r="109" ht="12.75">
      <c r="H109" s="38">
        <f t="shared" si="1"/>
        <v>0</v>
      </c>
    </row>
  </sheetData>
  <sheetProtection/>
  <printOptions/>
  <pageMargins left="0.4597222222222222" right="0.25" top="0.24027777777777778" bottom="0.1701388888888889"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G9" sqref="G9"/>
    </sheetView>
  </sheetViews>
  <sheetFormatPr defaultColWidth="11.421875" defaultRowHeight="12.75"/>
  <sheetData>
    <row r="1" spans="1:9" ht="18.75">
      <c r="A1" s="55" t="s">
        <v>159</v>
      </c>
      <c r="D1" s="77">
        <f>Information!D10</f>
        <v>0</v>
      </c>
      <c r="E1" t="s">
        <v>217</v>
      </c>
      <c r="G1" s="38">
        <f>SUM(H4:H54)</f>
        <v>0</v>
      </c>
      <c r="H1" s="38"/>
      <c r="I1" s="111" t="s">
        <v>448</v>
      </c>
    </row>
    <row r="2" spans="1:9" ht="18.75">
      <c r="A2" s="55"/>
      <c r="D2" s="26">
        <f>Information!E10</f>
        <v>0</v>
      </c>
      <c r="E2" t="s">
        <v>439</v>
      </c>
      <c r="G2" s="38"/>
      <c r="H2" s="38"/>
      <c r="I2" s="39"/>
    </row>
    <row r="3" spans="1:10" ht="18.75">
      <c r="A3" s="133" t="s">
        <v>543</v>
      </c>
      <c r="G3" s="38"/>
      <c r="H3" s="38"/>
      <c r="I3" s="39"/>
      <c r="J3" t="s">
        <v>449</v>
      </c>
    </row>
    <row r="4" spans="1:10" ht="18.75">
      <c r="A4" s="79">
        <f>IF(Information!A56="x",('Echoppes et buffets'!$D$1+$D$2/2),0)</f>
        <v>0</v>
      </c>
      <c r="B4" t="s">
        <v>382</v>
      </c>
      <c r="G4" s="38">
        <f>4.95*'Dét. échoppes'!J1</f>
        <v>8.415000000000001</v>
      </c>
      <c r="H4" s="38">
        <f aca="true" t="shared" si="0" ref="H4:H19">G4*A4</f>
        <v>0</v>
      </c>
      <c r="I4" s="39"/>
      <c r="J4" t="s">
        <v>450</v>
      </c>
    </row>
    <row r="5" spans="1:10" ht="18.75">
      <c r="A5" s="79">
        <f>IF(Information!A57="x",('Echoppes et buffets'!$D$1+$D$2/2),0)</f>
        <v>0</v>
      </c>
      <c r="B5" t="s">
        <v>24</v>
      </c>
      <c r="G5" s="38">
        <f>5*'Dét. échoppes'!$J$1</f>
        <v>8.5</v>
      </c>
      <c r="H5" s="38">
        <f t="shared" si="0"/>
        <v>0</v>
      </c>
      <c r="I5" s="39"/>
      <c r="J5" t="s">
        <v>451</v>
      </c>
    </row>
    <row r="6" spans="1:9" ht="18.75">
      <c r="A6" s="79">
        <f>IF(Information!A58="x",('Echoppes et buffets'!$D$1+$D$2/2),0)</f>
        <v>0</v>
      </c>
      <c r="B6" t="s">
        <v>25</v>
      </c>
      <c r="G6" s="38">
        <f>4.5*'Dét. échoppes'!$J$1</f>
        <v>7.6499999999999995</v>
      </c>
      <c r="H6" s="38">
        <f t="shared" si="0"/>
        <v>0</v>
      </c>
      <c r="I6" s="39"/>
    </row>
    <row r="7" spans="1:9" ht="18.75">
      <c r="A7" s="79">
        <f>IF(Information!A59="x",('Echoppes et buffets'!$D$1+$D$2/2),0)</f>
        <v>0</v>
      </c>
      <c r="B7" t="s">
        <v>26</v>
      </c>
      <c r="G7" s="38">
        <f>4.5*'Dét. échoppes'!$J$1</f>
        <v>7.6499999999999995</v>
      </c>
      <c r="H7" s="38">
        <f t="shared" si="0"/>
        <v>0</v>
      </c>
      <c r="I7" s="39"/>
    </row>
    <row r="8" spans="1:9" ht="18.75">
      <c r="A8" s="79">
        <f>IF(Information!A60="x",('Echoppes et buffets'!$D$1+$D$2/2),0)</f>
        <v>0</v>
      </c>
      <c r="B8" t="s">
        <v>493</v>
      </c>
      <c r="G8" s="38">
        <f>8*'Dét. échoppes'!$J$1</f>
        <v>13.6</v>
      </c>
      <c r="H8" s="38">
        <f t="shared" si="0"/>
        <v>0</v>
      </c>
      <c r="I8" s="39"/>
    </row>
    <row r="9" spans="1:9" ht="18.75">
      <c r="A9" s="79">
        <f>IF(Information!A61="x",('Echoppes et buffets'!$D$1+$D$2/2),0)</f>
        <v>0</v>
      </c>
      <c r="B9" t="s">
        <v>27</v>
      </c>
      <c r="G9" s="38">
        <f>4.5*'Dét. échoppes'!$J$1</f>
        <v>7.6499999999999995</v>
      </c>
      <c r="H9" s="38">
        <f t="shared" si="0"/>
        <v>0</v>
      </c>
      <c r="I9" s="39"/>
    </row>
    <row r="10" spans="1:9" ht="18.75">
      <c r="A10" s="79">
        <f>IF(Information!A62="x",('Echoppes et buffets'!$D$1+$D$2/2),0)</f>
        <v>0</v>
      </c>
      <c r="B10" t="s">
        <v>228</v>
      </c>
      <c r="G10" s="38">
        <f>4.5*'Dét. échoppes'!$J$1</f>
        <v>7.6499999999999995</v>
      </c>
      <c r="H10" s="38">
        <f t="shared" si="0"/>
        <v>0</v>
      </c>
      <c r="I10" s="39"/>
    </row>
    <row r="11" spans="1:9" ht="18.75">
      <c r="A11" s="79">
        <f>IF(Information!A63="x",('Echoppes et buffets'!$D$1+$D$2/2),0)</f>
        <v>0</v>
      </c>
      <c r="B11" t="s">
        <v>29</v>
      </c>
      <c r="G11" s="38">
        <f>4.5*'Dét. échoppes'!$J$1</f>
        <v>7.6499999999999995</v>
      </c>
      <c r="H11" s="38">
        <f t="shared" si="0"/>
        <v>0</v>
      </c>
      <c r="I11" s="39"/>
    </row>
    <row r="12" spans="1:9" ht="18.75">
      <c r="A12" s="79">
        <f>IF(Information!A64="x",('Echoppes et buffets'!$D$1+$D$2/2),0)</f>
        <v>0</v>
      </c>
      <c r="B12" t="s">
        <v>308</v>
      </c>
      <c r="G12" s="38">
        <f>8.8*'Dét. échoppes'!J1</f>
        <v>14.96</v>
      </c>
      <c r="H12" s="38">
        <f t="shared" si="0"/>
        <v>0</v>
      </c>
      <c r="I12" s="39"/>
    </row>
    <row r="13" spans="1:9" ht="18.75">
      <c r="A13" s="79">
        <f>IF(Information!A65="x",('Echoppes et buffets'!$D$1+$D$2/2),0)</f>
        <v>0</v>
      </c>
      <c r="B13" t="s">
        <v>307</v>
      </c>
      <c r="G13" s="38">
        <f>5*'Dét. échoppes'!$J$1</f>
        <v>8.5</v>
      </c>
      <c r="H13" s="38">
        <f t="shared" si="0"/>
        <v>0</v>
      </c>
      <c r="I13" s="39"/>
    </row>
    <row r="14" spans="1:9" ht="18.75">
      <c r="A14" s="79">
        <f>IF(Information!A66="x",('Echoppes et buffets'!$D$1+$D$2/2),0)</f>
        <v>0</v>
      </c>
      <c r="B14" t="s">
        <v>31</v>
      </c>
      <c r="G14" s="38">
        <f>9*'Dét. échoppes'!$J$1</f>
        <v>15.299999999999999</v>
      </c>
      <c r="H14" s="38">
        <f t="shared" si="0"/>
        <v>0</v>
      </c>
      <c r="I14" s="39"/>
    </row>
    <row r="15" spans="1:9" ht="18.75">
      <c r="A15" s="79">
        <f>IF(Information!A67="x",('Echoppes et buffets'!$D$1+$D$2/2),0)</f>
        <v>0</v>
      </c>
      <c r="B15" t="s">
        <v>229</v>
      </c>
      <c r="G15" s="38">
        <f>9.5*'Dét. échoppes'!$J$1</f>
        <v>16.15</v>
      </c>
      <c r="H15" s="38">
        <f t="shared" si="0"/>
        <v>0</v>
      </c>
      <c r="I15" s="39" t="s">
        <v>455</v>
      </c>
    </row>
    <row r="16" spans="1:10" ht="18.75">
      <c r="A16" s="79">
        <f>IF(Information!A68="x",('Echoppes et buffets'!$D$1+$D$2/2),0)</f>
        <v>0</v>
      </c>
      <c r="B16" t="s">
        <v>32</v>
      </c>
      <c r="G16" s="38">
        <f>8.5*'Dét. échoppes'!$J$1</f>
        <v>14.45</v>
      </c>
      <c r="H16" s="38">
        <f t="shared" si="0"/>
        <v>0</v>
      </c>
      <c r="I16" s="39"/>
      <c r="J16" s="112">
        <v>12.5</v>
      </c>
    </row>
    <row r="17" spans="1:9" ht="18.75">
      <c r="A17" s="79">
        <f>IF(Information!A69="x",('Echoppes et buffets'!$D$1),0)</f>
        <v>0</v>
      </c>
      <c r="B17" t="s">
        <v>309</v>
      </c>
      <c r="G17" s="38">
        <f>4.35*'Dét. échoppes'!$J$1</f>
        <v>7.395</v>
      </c>
      <c r="H17" s="38">
        <f t="shared" si="0"/>
        <v>0</v>
      </c>
      <c r="I17" s="39" t="s">
        <v>456</v>
      </c>
    </row>
    <row r="18" spans="1:9" ht="18.75">
      <c r="A18" s="79">
        <f>IF(Information!A70="x",('Echoppes et buffets'!$D$1+$D$2),0)</f>
        <v>0</v>
      </c>
      <c r="B18" t="s">
        <v>231</v>
      </c>
      <c r="G18" s="38">
        <f>1.5*'Dét. échoppes'!$J$1</f>
        <v>2.55</v>
      </c>
      <c r="H18" s="38">
        <f t="shared" si="0"/>
        <v>0</v>
      </c>
      <c r="I18" s="39"/>
    </row>
    <row r="19" spans="1:9" ht="18.75">
      <c r="A19" s="79">
        <f>IF(Information!A71="x",('Echoppes et buffets'!$D$1+D2),0)</f>
        <v>0</v>
      </c>
      <c r="B19" t="s">
        <v>232</v>
      </c>
      <c r="G19" s="38">
        <f>1*'Dét. échoppes'!$J$1</f>
        <v>1.7</v>
      </c>
      <c r="H19" s="38">
        <f t="shared" si="0"/>
        <v>0</v>
      </c>
      <c r="I19" s="39"/>
    </row>
    <row r="20" spans="1:10" ht="18.75">
      <c r="A20" s="57" t="s">
        <v>160</v>
      </c>
      <c r="C20" s="38">
        <f>SUM(H21:H22)</f>
        <v>0</v>
      </c>
      <c r="G20" s="38"/>
      <c r="H20" s="38"/>
      <c r="I20" s="39"/>
      <c r="J20" s="1" t="s">
        <v>452</v>
      </c>
    </row>
    <row r="21" spans="1:10" ht="18.75">
      <c r="A21" s="79">
        <f>IF(Information!A75="x",('Echoppes et buffets'!$D$1+('Echoppes et buffets'!$D$2/2)),0)</f>
        <v>0</v>
      </c>
      <c r="B21" t="s">
        <v>233</v>
      </c>
      <c r="G21" s="38">
        <f>15*'Dét. échoppes'!$J$1</f>
        <v>25.5</v>
      </c>
      <c r="H21" s="38">
        <f>G21*A21</f>
        <v>0</v>
      </c>
      <c r="I21" s="39"/>
      <c r="J21" t="s">
        <v>453</v>
      </c>
    </row>
    <row r="22" spans="1:10" ht="18.75">
      <c r="A22" s="79">
        <f>IF(Information!A76="x",('Echoppes et buffets'!$D$1+('Echoppes et buffets'!$D$2/2)),0)</f>
        <v>0</v>
      </c>
      <c r="B22" t="s">
        <v>234</v>
      </c>
      <c r="G22" s="38">
        <f>20*'Dét. échoppes'!$J$1</f>
        <v>34</v>
      </c>
      <c r="H22" s="38">
        <f>G22*A22</f>
        <v>0</v>
      </c>
      <c r="I22" s="39"/>
      <c r="J22" t="s">
        <v>454</v>
      </c>
    </row>
    <row r="25" spans="1:9" ht="18.75">
      <c r="A25" s="57" t="s">
        <v>161</v>
      </c>
      <c r="C25" s="38">
        <f>SUM(H26:H29)</f>
        <v>0</v>
      </c>
      <c r="G25" s="38"/>
      <c r="H25" s="38"/>
      <c r="I25" s="39"/>
    </row>
    <row r="26" spans="1:9" ht="13.5" customHeight="1">
      <c r="A26" s="58"/>
      <c r="B26" t="s">
        <v>80</v>
      </c>
      <c r="G26" s="38">
        <f>0.6*'Dét. échoppes'!$J$1</f>
        <v>1.02</v>
      </c>
      <c r="H26" s="38">
        <f>G26*A26</f>
        <v>0</v>
      </c>
      <c r="I26" s="39"/>
    </row>
    <row r="27" spans="1:9" ht="13.5" customHeight="1">
      <c r="A27" s="79">
        <f>D1</f>
        <v>0</v>
      </c>
      <c r="B27" t="s">
        <v>306</v>
      </c>
      <c r="G27" s="38">
        <f>1.5*'Dét. échoppes'!$J$1</f>
        <v>2.55</v>
      </c>
      <c r="H27" s="38">
        <f>G27*A27</f>
        <v>0</v>
      </c>
      <c r="I27" s="39"/>
    </row>
    <row r="28" spans="1:9" ht="13.5" customHeight="1">
      <c r="A28" s="58"/>
      <c r="B28" t="s">
        <v>82</v>
      </c>
      <c r="G28" s="38">
        <f>2*'Dét. échoppes'!$J$1</f>
        <v>3.4</v>
      </c>
      <c r="H28" s="38">
        <f>G28*A28</f>
        <v>0</v>
      </c>
      <c r="I28" s="39"/>
    </row>
    <row r="30" spans="1:9" ht="18.75">
      <c r="A30" s="55" t="s">
        <v>73</v>
      </c>
      <c r="C30" s="38">
        <f>SUM(H31:H35)</f>
        <v>0</v>
      </c>
      <c r="G30" s="38"/>
      <c r="H30" s="38"/>
      <c r="I30" s="39"/>
    </row>
    <row r="31" spans="1:9" ht="15.75" customHeight="1">
      <c r="A31" s="79">
        <f>IF(Information!Q80&lt;&gt;0,D1+D2,0)</f>
        <v>0</v>
      </c>
      <c r="B31" s="26">
        <f>Information!N77</f>
        <v>0</v>
      </c>
      <c r="C31" t="s">
        <v>74</v>
      </c>
      <c r="F31" t="s">
        <v>154</v>
      </c>
      <c r="G31" s="38"/>
      <c r="H31" s="38">
        <f>((A31/B32)*(B31+2))*B33</f>
        <v>0</v>
      </c>
      <c r="I31" s="39"/>
    </row>
    <row r="32" spans="2:9" ht="12" customHeight="1">
      <c r="B32" s="26">
        <f>IF(SUM(Information!E80:E83)=0,0.01,SUM(Information!E80:E83))</f>
        <v>0.01</v>
      </c>
      <c r="C32" t="s">
        <v>155</v>
      </c>
      <c r="F32" t="s">
        <v>156</v>
      </c>
      <c r="G32" s="38"/>
      <c r="H32" s="38"/>
      <c r="I32" s="39"/>
    </row>
    <row r="33" spans="2:9" ht="12" customHeight="1">
      <c r="B33" s="26">
        <f>'Dét. échoppes'!K1</f>
        <v>32</v>
      </c>
      <c r="C33" t="s">
        <v>76</v>
      </c>
      <c r="F33" t="s">
        <v>157</v>
      </c>
      <c r="G33" s="38"/>
      <c r="H33" s="38"/>
      <c r="I33" s="39"/>
    </row>
    <row r="34" ht="12.75">
      <c r="F34" t="s">
        <v>158</v>
      </c>
    </row>
    <row r="36" spans="1:9" ht="18.75">
      <c r="A36" s="55" t="s">
        <v>52</v>
      </c>
      <c r="C36" s="38">
        <f>SUM(H37:H39)</f>
        <v>0</v>
      </c>
      <c r="G36" s="38"/>
      <c r="H36" s="38"/>
      <c r="I36" s="39"/>
    </row>
    <row r="37" spans="1:9" ht="12.75" customHeight="1">
      <c r="A37" s="58">
        <f>IF(Information!A30="x",'Echoppes et buffets'!$D$1,0)</f>
        <v>0</v>
      </c>
      <c r="B37" t="s">
        <v>80</v>
      </c>
      <c r="G37" s="38">
        <f>3.5*'Dét. échoppes'!$J$1</f>
        <v>5.95</v>
      </c>
      <c r="H37" s="38">
        <f>G37*A37</f>
        <v>0</v>
      </c>
      <c r="I37" s="39"/>
    </row>
    <row r="38" spans="1:9" ht="12.75" customHeight="1">
      <c r="A38" s="58">
        <f>IF(Information!A31="x",'Echoppes et buffets'!$D$1,0)</f>
        <v>0</v>
      </c>
      <c r="B38" t="s">
        <v>306</v>
      </c>
      <c r="G38" s="38">
        <f>6*'Dét. échoppes'!$J$1</f>
        <v>10.2</v>
      </c>
      <c r="H38" s="38">
        <f>G38*A38</f>
        <v>0</v>
      </c>
      <c r="I38" s="39"/>
    </row>
    <row r="39" spans="1:9" ht="12.75" customHeight="1">
      <c r="A39" s="58">
        <f>IF(Information!A32="x",'Echoppes et buffets'!$D$1,0)</f>
        <v>0</v>
      </c>
      <c r="B39" t="s">
        <v>82</v>
      </c>
      <c r="G39" s="38">
        <f>10*'Dét. échoppes'!$J$1</f>
        <v>17</v>
      </c>
      <c r="H39" s="38">
        <f>G39*A39</f>
        <v>0</v>
      </c>
      <c r="I39" s="39"/>
    </row>
    <row r="40" spans="7:9" ht="12.75" customHeight="1">
      <c r="G40" s="38"/>
      <c r="H40" s="38"/>
      <c r="I40" s="39"/>
    </row>
  </sheetData>
  <sheetProtection/>
  <printOptions/>
  <pageMargins left="0.4097222222222222" right="0.25" top="0.7201388888888889"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40"/>
  <sheetViews>
    <sheetView showGridLines="0" showZeros="0" zoomScalePageLayoutView="0" workbookViewId="0" topLeftCell="A1">
      <selection activeCell="C1" sqref="C1"/>
    </sheetView>
  </sheetViews>
  <sheetFormatPr defaultColWidth="11.421875" defaultRowHeight="12.75"/>
  <cols>
    <col min="2" max="2" width="15.28125" style="0" customWidth="1"/>
    <col min="5" max="5" width="11.7109375" style="0" customWidth="1"/>
    <col min="6" max="6" width="6.7109375" style="0" customWidth="1"/>
    <col min="7" max="7" width="16.140625" style="0" customWidth="1"/>
  </cols>
  <sheetData>
    <row r="1" spans="1:8" ht="25.5">
      <c r="A1" s="59" t="s">
        <v>57</v>
      </c>
      <c r="C1" s="77">
        <f>'Page de garde'!F13</f>
        <v>0</v>
      </c>
      <c r="D1" t="s">
        <v>379</v>
      </c>
      <c r="G1" s="39">
        <f>SUM(I2:I57)</f>
        <v>0</v>
      </c>
      <c r="H1" s="38"/>
    </row>
    <row r="2" spans="1:9" ht="25.5">
      <c r="A2" s="59"/>
      <c r="C2" s="26">
        <f>'Page de garde'!F14</f>
        <v>0</v>
      </c>
      <c r="D2" t="s">
        <v>98</v>
      </c>
      <c r="G2" s="38"/>
      <c r="H2" s="38"/>
      <c r="I2" s="39"/>
    </row>
    <row r="3" spans="1:10" ht="15" customHeight="1">
      <c r="A3" s="70"/>
      <c r="B3" t="s">
        <v>100</v>
      </c>
      <c r="C3" s="71">
        <v>2</v>
      </c>
      <c r="D3" t="s">
        <v>411</v>
      </c>
      <c r="F3">
        <f>C3*2</f>
        <v>4</v>
      </c>
      <c r="G3" t="s">
        <v>101</v>
      </c>
      <c r="H3" s="38">
        <f>C3*0.5*'Dét. échoppes'!$J$1</f>
        <v>1.7</v>
      </c>
      <c r="I3" s="38">
        <f>H3*A3</f>
        <v>0</v>
      </c>
      <c r="J3" s="39"/>
    </row>
    <row r="4" spans="1:9" ht="12.75" customHeight="1">
      <c r="A4" s="27"/>
      <c r="G4" s="38"/>
      <c r="H4" s="38"/>
      <c r="I4" s="39"/>
    </row>
    <row r="5" spans="1:10" ht="12.75" customHeight="1">
      <c r="A5" s="58"/>
      <c r="B5" t="s">
        <v>244</v>
      </c>
      <c r="H5" s="38">
        <f>0.5*'Dét. échoppes'!$J$1</f>
        <v>0.85</v>
      </c>
      <c r="I5" s="38">
        <f>H5*A5</f>
        <v>0</v>
      </c>
      <c r="J5" s="39"/>
    </row>
    <row r="6" spans="1:10" ht="12.75" customHeight="1">
      <c r="A6" s="27"/>
      <c r="H6" s="38"/>
      <c r="I6" s="38"/>
      <c r="J6" s="39"/>
    </row>
    <row r="7" spans="1:10" ht="12.75" customHeight="1">
      <c r="A7" s="58"/>
      <c r="B7" t="s">
        <v>62</v>
      </c>
      <c r="D7" t="s">
        <v>162</v>
      </c>
      <c r="H7" s="38">
        <f>0.75*'Dét. échoppes'!$J$1</f>
        <v>1.275</v>
      </c>
      <c r="I7" s="38">
        <f aca="true" t="shared" si="0" ref="I7:I13">H7*A7</f>
        <v>0</v>
      </c>
      <c r="J7" s="39"/>
    </row>
    <row r="8" spans="8:10" ht="12.75" customHeight="1">
      <c r="H8" s="38"/>
      <c r="I8" s="38">
        <f t="shared" si="0"/>
        <v>0</v>
      </c>
      <c r="J8" s="39"/>
    </row>
    <row r="9" spans="1:10" ht="12.75" customHeight="1">
      <c r="A9" s="58"/>
      <c r="B9" t="s">
        <v>410</v>
      </c>
      <c r="H9" s="38">
        <f>0.75*'Dét. échoppes'!$J$1</f>
        <v>1.275</v>
      </c>
      <c r="I9" s="38">
        <f t="shared" si="0"/>
        <v>0</v>
      </c>
      <c r="J9" s="39"/>
    </row>
    <row r="10" spans="8:10" ht="12.75" customHeight="1">
      <c r="H10" s="38"/>
      <c r="I10" s="38">
        <f t="shared" si="0"/>
        <v>0</v>
      </c>
      <c r="J10" s="39"/>
    </row>
    <row r="11" spans="1:10" ht="12.75" customHeight="1">
      <c r="A11" s="80"/>
      <c r="B11" t="s">
        <v>64</v>
      </c>
      <c r="C11" t="s">
        <v>65</v>
      </c>
      <c r="H11" s="38">
        <f>2.5*'Dét. échoppes'!$J$1</f>
        <v>4.25</v>
      </c>
      <c r="I11" s="38">
        <f t="shared" si="0"/>
        <v>0</v>
      </c>
      <c r="J11" s="39"/>
    </row>
    <row r="12" spans="1:10" ht="12.75" customHeight="1">
      <c r="A12" s="58"/>
      <c r="B12" t="s">
        <v>66</v>
      </c>
      <c r="C12" t="s">
        <v>65</v>
      </c>
      <c r="H12" s="38">
        <f>5*'Dét. échoppes'!$J$1</f>
        <v>8.5</v>
      </c>
      <c r="I12" s="38">
        <f t="shared" si="0"/>
        <v>0</v>
      </c>
      <c r="J12" s="39"/>
    </row>
    <row r="13" spans="1:10" ht="12.75" customHeight="1">
      <c r="A13" s="58"/>
      <c r="B13" t="s">
        <v>67</v>
      </c>
      <c r="C13" t="s">
        <v>65</v>
      </c>
      <c r="H13" s="38">
        <f>10*'Dét. échoppes'!$J$1</f>
        <v>17</v>
      </c>
      <c r="I13" s="38">
        <f t="shared" si="0"/>
        <v>0</v>
      </c>
      <c r="J13" s="39"/>
    </row>
    <row r="14" spans="1:10" ht="12.75" customHeight="1">
      <c r="A14" s="59"/>
      <c r="H14" s="38"/>
      <c r="I14" s="38"/>
      <c r="J14" s="39"/>
    </row>
    <row r="15" spans="1:10" ht="12.75" customHeight="1">
      <c r="A15" s="58">
        <f>IF(Information!A26="x",Soirée!C1,0)</f>
        <v>0</v>
      </c>
      <c r="B15" t="s">
        <v>518</v>
      </c>
      <c r="E15" t="s">
        <v>442</v>
      </c>
      <c r="F15" t="s">
        <v>517</v>
      </c>
      <c r="H15" s="38">
        <f>5*'Dét. échoppes'!$J$1</f>
        <v>8.5</v>
      </c>
      <c r="I15" s="38">
        <f>H15*A15</f>
        <v>0</v>
      </c>
      <c r="J15" s="39"/>
    </row>
    <row r="16" spans="1:10" ht="12.75" customHeight="1">
      <c r="A16" s="58"/>
      <c r="B16" t="s">
        <v>310</v>
      </c>
      <c r="H16" s="38">
        <f>3*'Dét. échoppes'!$J$1</f>
        <v>5.1</v>
      </c>
      <c r="I16" s="38">
        <f>H16*A16</f>
        <v>0</v>
      </c>
      <c r="J16" s="39"/>
    </row>
    <row r="17" spans="8:10" ht="12.75" customHeight="1">
      <c r="H17" s="38"/>
      <c r="I17" s="38">
        <f>H17*A17</f>
        <v>0</v>
      </c>
      <c r="J17" s="39"/>
    </row>
    <row r="18" spans="1:9" ht="18.75">
      <c r="A18" s="55" t="s">
        <v>150</v>
      </c>
      <c r="C18" s="38">
        <f>SUM(I19:I35)</f>
        <v>0</v>
      </c>
      <c r="G18" s="38"/>
      <c r="H18" s="38"/>
      <c r="I18" s="39"/>
    </row>
    <row r="19" spans="1:10" ht="12.75" customHeight="1">
      <c r="A19" s="56"/>
      <c r="B19" t="s">
        <v>544</v>
      </c>
      <c r="H19" s="38">
        <f>1.5*'Dét. échoppes'!$J$1</f>
        <v>2.55</v>
      </c>
      <c r="I19" s="38">
        <f>H19*A19</f>
        <v>0</v>
      </c>
      <c r="J19" s="39"/>
    </row>
    <row r="20" spans="1:10" ht="12.75" customHeight="1">
      <c r="A20" s="79">
        <f>IF(Information!A87="x",(Soirée!$C$1+Soirée!$C$2),0)</f>
        <v>0</v>
      </c>
      <c r="B20" t="s">
        <v>34</v>
      </c>
      <c r="D20" t="s">
        <v>509</v>
      </c>
      <c r="H20" s="38">
        <f>3.1*'Dét. échoppes'!$J$1</f>
        <v>5.27</v>
      </c>
      <c r="I20" s="38">
        <f>H20*A20</f>
        <v>0</v>
      </c>
      <c r="J20" s="39"/>
    </row>
    <row r="21" spans="1:10" ht="12.75" customHeight="1">
      <c r="A21" s="79"/>
      <c r="H21" s="38">
        <f>4.5*'Dét. échoppes'!$J$1</f>
        <v>7.6499999999999995</v>
      </c>
      <c r="I21" s="38">
        <f>H21*A21</f>
        <v>0</v>
      </c>
      <c r="J21" s="39"/>
    </row>
    <row r="22" spans="1:10" ht="12.75" customHeight="1">
      <c r="A22" s="79">
        <f>IF(Information!A89="x",(Soirée!$C$1),0)</f>
        <v>0</v>
      </c>
      <c r="B22" t="s">
        <v>152</v>
      </c>
      <c r="D22" s="27"/>
      <c r="H22" s="38">
        <f>1.5*'Dét. échoppes'!$J$1</f>
        <v>2.55</v>
      </c>
      <c r="I22" s="38">
        <f>H22*A22</f>
        <v>0</v>
      </c>
      <c r="J22" s="39"/>
    </row>
    <row r="23" spans="1:10" ht="12.75" customHeight="1">
      <c r="A23" s="79">
        <f>IF(Information!A90="x",(Soirée!$C$1+Soirée!$C$2),0)</f>
        <v>0</v>
      </c>
      <c r="B23" t="s">
        <v>459</v>
      </c>
      <c r="H23" s="38">
        <f>3.85*'Dét. échoppes'!J1</f>
        <v>6.545</v>
      </c>
      <c r="I23" s="38">
        <f>H23*A23</f>
        <v>0</v>
      </c>
      <c r="J23" s="39"/>
    </row>
    <row r="24" spans="8:10" ht="12.75" customHeight="1">
      <c r="H24" s="38"/>
      <c r="I24" s="38">
        <f aca="true" t="shared" si="1" ref="I24:I34">H24*A24</f>
        <v>0</v>
      </c>
      <c r="J24" s="39"/>
    </row>
    <row r="25" spans="1:11" ht="12.75" customHeight="1">
      <c r="A25" s="79">
        <f>IF(Information!A92="x",(Soirée!$C$1+Soirée!$C$2),0)</f>
        <v>0</v>
      </c>
      <c r="B25" t="s">
        <v>465</v>
      </c>
      <c r="C25" t="s">
        <v>467</v>
      </c>
      <c r="H25" s="38">
        <f>2*'Dét. échoppes'!$J$1</f>
        <v>3.4</v>
      </c>
      <c r="I25" s="38">
        <f t="shared" si="1"/>
        <v>0</v>
      </c>
      <c r="J25" s="39"/>
      <c r="K25" s="38">
        <f>H25*A25</f>
        <v>0</v>
      </c>
    </row>
    <row r="26" spans="1:11" ht="12.75" customHeight="1">
      <c r="A26" s="79">
        <f>IF(Information!A93="x",(Soirée!$C$1+Soirée!$C$2),0)</f>
        <v>0</v>
      </c>
      <c r="B26" t="s">
        <v>519</v>
      </c>
      <c r="H26" s="38">
        <f>5*'Dét. échoppes'!J1</f>
        <v>8.5</v>
      </c>
      <c r="I26" s="38">
        <f t="shared" si="1"/>
        <v>0</v>
      </c>
      <c r="J26" s="39"/>
      <c r="K26" s="38"/>
    </row>
    <row r="27" spans="1:11" ht="12.75" customHeight="1">
      <c r="A27" s="79">
        <f>IF(Information!A94="x",(Soirée!$C$1+Soirée!$C$2),0)</f>
        <v>0</v>
      </c>
      <c r="B27" t="s">
        <v>464</v>
      </c>
      <c r="C27" t="s">
        <v>466</v>
      </c>
      <c r="H27" s="38">
        <f>3.18*'Dét. échoppes'!$J$1</f>
        <v>5.406</v>
      </c>
      <c r="I27" s="38">
        <f t="shared" si="1"/>
        <v>0</v>
      </c>
      <c r="J27" s="39"/>
      <c r="K27" s="38"/>
    </row>
    <row r="28" spans="1:11" ht="12.75" customHeight="1">
      <c r="A28" s="79">
        <f>IF(Information!A95="x",(Soirée!$C$1+Soirée!$C$2),0)</f>
        <v>0</v>
      </c>
      <c r="B28" t="s">
        <v>232</v>
      </c>
      <c r="H28" s="38">
        <f>2*'Dét. échoppes'!$J$1</f>
        <v>3.4</v>
      </c>
      <c r="I28" s="38">
        <f t="shared" si="1"/>
        <v>0</v>
      </c>
      <c r="J28" s="39"/>
      <c r="K28" s="38"/>
    </row>
    <row r="29" spans="1:11" ht="12.75" customHeight="1">
      <c r="A29" s="79">
        <f>IF(Information!A96="x",(Soirée!$C$1+Soirée!$C$2),0)</f>
        <v>0</v>
      </c>
      <c r="B29" t="s">
        <v>463</v>
      </c>
      <c r="H29" s="38">
        <v>4.5</v>
      </c>
      <c r="I29" s="38">
        <f t="shared" si="1"/>
        <v>0</v>
      </c>
      <c r="J29" s="39"/>
      <c r="K29" s="38"/>
    </row>
    <row r="30" spans="1:10" ht="12.75" customHeight="1">
      <c r="A30" s="79">
        <f>IF(Information!A97="x",(Soirée!$C$1+Soirée!$C$2),0)*3</f>
        <v>0</v>
      </c>
      <c r="B30" t="s">
        <v>236</v>
      </c>
      <c r="H30" s="38">
        <f>0.75*'Dét. échoppes'!$J$1</f>
        <v>1.275</v>
      </c>
      <c r="I30" s="38">
        <f t="shared" si="1"/>
        <v>0</v>
      </c>
      <c r="J30" s="39"/>
    </row>
    <row r="31" spans="1:10" ht="12.75" customHeight="1">
      <c r="A31" s="27"/>
      <c r="H31" s="38"/>
      <c r="I31" s="38">
        <f t="shared" si="1"/>
        <v>0</v>
      </c>
      <c r="J31" s="39"/>
    </row>
    <row r="32" spans="1:10" ht="12.75" customHeight="1">
      <c r="A32" s="58">
        <f>IF(A15&lt;&gt;0,C1,0)</f>
        <v>0</v>
      </c>
      <c r="B32" t="s">
        <v>70</v>
      </c>
      <c r="H32" s="38">
        <f>0.3*'Dét. échoppes'!$J$1</f>
        <v>0.51</v>
      </c>
      <c r="I32" s="38">
        <f t="shared" si="1"/>
        <v>0</v>
      </c>
      <c r="J32" s="39"/>
    </row>
    <row r="33" spans="1:10" ht="12.75" customHeight="1">
      <c r="A33" s="58"/>
      <c r="B33" t="s">
        <v>247</v>
      </c>
      <c r="H33" s="38">
        <f>0.8*'Dét. échoppes'!$J$1</f>
        <v>1.36</v>
      </c>
      <c r="I33" s="38">
        <f t="shared" si="1"/>
        <v>0</v>
      </c>
      <c r="J33" s="39"/>
    </row>
    <row r="34" spans="1:10" ht="12.75" customHeight="1">
      <c r="A34" s="58"/>
      <c r="B34" t="s">
        <v>248</v>
      </c>
      <c r="H34" s="38">
        <f>1.3*'Dét. échoppes'!$J$1</f>
        <v>2.21</v>
      </c>
      <c r="I34" s="38">
        <f t="shared" si="1"/>
        <v>0</v>
      </c>
      <c r="J34" s="39"/>
    </row>
    <row r="35" spans="7:9" ht="18.75">
      <c r="G35" s="38"/>
      <c r="H35" s="38">
        <f>G35*A35</f>
        <v>0</v>
      </c>
      <c r="I35" s="39"/>
    </row>
    <row r="36" spans="1:9" ht="18.75">
      <c r="A36" s="55" t="s">
        <v>73</v>
      </c>
      <c r="C36" s="38">
        <f>SUM(I37:I41)</f>
        <v>0</v>
      </c>
      <c r="G36" s="38"/>
      <c r="H36" s="38"/>
      <c r="I36" s="39"/>
    </row>
    <row r="37" spans="1:10" ht="12" customHeight="1">
      <c r="A37" s="80">
        <f>C1+C2</f>
        <v>0</v>
      </c>
      <c r="B37" s="82">
        <f>(Information!E20-((Cocktail!B20+'Repas chaud'!B99+'Echoppes et buffets'!B31)/24))*24</f>
        <v>10.500000000000002</v>
      </c>
      <c r="C37" t="s">
        <v>74</v>
      </c>
      <c r="F37" t="s">
        <v>154</v>
      </c>
      <c r="G37" s="38"/>
      <c r="H37" s="38"/>
      <c r="I37" s="38">
        <f>((A37/B38)*(B37+2))*B39</f>
        <v>0</v>
      </c>
      <c r="J37" s="39"/>
    </row>
    <row r="38" spans="2:9" ht="12" customHeight="1">
      <c r="B38" s="26">
        <v>40</v>
      </c>
      <c r="C38" t="s">
        <v>155</v>
      </c>
      <c r="F38" t="s">
        <v>156</v>
      </c>
      <c r="G38" s="38"/>
      <c r="H38" s="38"/>
      <c r="I38" s="39"/>
    </row>
    <row r="39" spans="2:9" ht="12" customHeight="1">
      <c r="B39" s="26">
        <f>'Dét. échoppes'!K1</f>
        <v>32</v>
      </c>
      <c r="C39" t="s">
        <v>76</v>
      </c>
      <c r="F39" t="s">
        <v>157</v>
      </c>
      <c r="G39" s="38"/>
      <c r="H39" s="38"/>
      <c r="I39" s="39"/>
    </row>
    <row r="40" ht="12.75">
      <c r="F40" t="s">
        <v>158</v>
      </c>
    </row>
  </sheetData>
  <sheetProtection/>
  <printOptions/>
  <pageMargins left="0.2298611111111111" right="0.25" top="0.6298611111111111"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A3" sqref="A3"/>
    </sheetView>
  </sheetViews>
  <sheetFormatPr defaultColWidth="11.421875" defaultRowHeight="12.75"/>
  <cols>
    <col min="4" max="4" width="9.7109375" style="0" customWidth="1"/>
    <col min="5" max="6" width="7.421875" style="0" customWidth="1"/>
    <col min="7" max="7" width="18.7109375" style="0" customWidth="1"/>
    <col min="8" max="8" width="10.7109375" style="0" customWidth="1"/>
    <col min="9" max="9" width="18.7109375" style="0" customWidth="1"/>
  </cols>
  <sheetData>
    <row r="1" spans="1:8" ht="25.5">
      <c r="A1" s="59" t="s">
        <v>77</v>
      </c>
      <c r="G1" s="39">
        <f>SUM(H2:H43)</f>
        <v>0</v>
      </c>
      <c r="H1" s="38"/>
    </row>
    <row r="2" spans="7:9" ht="18.75">
      <c r="G2" s="38"/>
      <c r="H2" s="38"/>
      <c r="I2" s="39"/>
    </row>
    <row r="3" spans="1:9" ht="18.75">
      <c r="A3" s="61">
        <f>Information!D10+Information!E10</f>
        <v>0</v>
      </c>
      <c r="B3" s="7" t="s">
        <v>78</v>
      </c>
      <c r="C3" s="7"/>
      <c r="D3" s="97"/>
      <c r="E3" s="97"/>
      <c r="G3" s="38">
        <f>0.75*'Dét. échoppes'!$J$1</f>
        <v>1.275</v>
      </c>
      <c r="H3" s="38">
        <f aca="true" t="shared" si="0" ref="H3:H13">G3*A3</f>
        <v>0</v>
      </c>
      <c r="I3" s="39"/>
    </row>
    <row r="4" spans="1:9" ht="18.75">
      <c r="A4" s="62"/>
      <c r="B4" s="7"/>
      <c r="C4" s="7"/>
      <c r="D4" s="97"/>
      <c r="E4" s="97"/>
      <c r="G4" s="38"/>
      <c r="H4" s="38">
        <f t="shared" si="0"/>
        <v>0</v>
      </c>
      <c r="I4" s="39"/>
    </row>
    <row r="5" spans="1:9" ht="18.75">
      <c r="A5" s="63"/>
      <c r="B5" s="7" t="s">
        <v>79</v>
      </c>
      <c r="C5" s="98"/>
      <c r="D5" s="97"/>
      <c r="E5" s="97"/>
      <c r="G5" s="38"/>
      <c r="H5" s="38">
        <f t="shared" si="0"/>
        <v>0</v>
      </c>
      <c r="I5" s="39"/>
    </row>
    <row r="6" spans="1:15" ht="18.75" customHeight="1">
      <c r="A6" s="61"/>
      <c r="B6" s="97"/>
      <c r="C6" s="7" t="s">
        <v>80</v>
      </c>
      <c r="D6" s="97"/>
      <c r="E6" s="97"/>
      <c r="G6" s="99">
        <f>1*'Dét. échoppes'!$J$1</f>
        <v>1.7</v>
      </c>
      <c r="H6" s="38">
        <f t="shared" si="0"/>
        <v>0</v>
      </c>
      <c r="I6" s="100" t="s">
        <v>312</v>
      </c>
      <c r="J6" s="97"/>
      <c r="K6" s="89"/>
      <c r="L6" s="97"/>
      <c r="M6" s="25" t="s">
        <v>478</v>
      </c>
      <c r="N6" s="25"/>
      <c r="O6" s="25" t="s">
        <v>477</v>
      </c>
    </row>
    <row r="7" spans="1:15" ht="17.25" customHeight="1">
      <c r="A7" s="61"/>
      <c r="B7" s="97"/>
      <c r="C7" s="7" t="s">
        <v>306</v>
      </c>
      <c r="D7" s="97"/>
      <c r="E7" s="97"/>
      <c r="G7" s="99">
        <f>1.3*'Dét. échoppes'!$J$1</f>
        <v>2.21</v>
      </c>
      <c r="H7" s="38">
        <f t="shared" si="0"/>
        <v>0</v>
      </c>
      <c r="I7" s="100" t="s">
        <v>205</v>
      </c>
      <c r="J7" s="97"/>
      <c r="K7" s="97"/>
      <c r="L7" s="97"/>
      <c r="M7" s="97" t="s">
        <v>207</v>
      </c>
      <c r="N7" s="97"/>
      <c r="O7" t="s">
        <v>207</v>
      </c>
    </row>
    <row r="8" spans="1:15" ht="16.5" customHeight="1">
      <c r="A8" s="83">
        <f>Information!D10+Information!E10</f>
        <v>0</v>
      </c>
      <c r="B8" s="97"/>
      <c r="C8" s="7" t="s">
        <v>82</v>
      </c>
      <c r="D8" s="97"/>
      <c r="E8" s="97"/>
      <c r="G8" s="99">
        <f>1.45*'Dét. échoppes'!$J$1</f>
        <v>2.465</v>
      </c>
      <c r="H8" s="38">
        <f t="shared" si="0"/>
        <v>0</v>
      </c>
      <c r="I8" s="100" t="s">
        <v>215</v>
      </c>
      <c r="J8" s="97"/>
      <c r="K8" s="97"/>
      <c r="L8" s="97"/>
      <c r="M8" s="97" t="s">
        <v>468</v>
      </c>
      <c r="N8" s="97"/>
      <c r="O8" t="s">
        <v>211</v>
      </c>
    </row>
    <row r="9" spans="1:15" ht="15.75" customHeight="1">
      <c r="A9" s="61"/>
      <c r="B9" s="97"/>
      <c r="C9" s="7" t="s">
        <v>83</v>
      </c>
      <c r="D9" s="97"/>
      <c r="E9" s="97"/>
      <c r="G9" s="99">
        <f>2.5*'Dét. échoppes'!$J$1</f>
        <v>4.25</v>
      </c>
      <c r="H9" s="38">
        <f t="shared" si="0"/>
        <v>0</v>
      </c>
      <c r="I9" s="100" t="s">
        <v>440</v>
      </c>
      <c r="J9" s="97"/>
      <c r="K9" s="97"/>
      <c r="L9" s="97"/>
      <c r="M9" s="97" t="s">
        <v>469</v>
      </c>
      <c r="N9" s="97"/>
      <c r="O9" t="s">
        <v>474</v>
      </c>
    </row>
    <row r="10" spans="1:14" ht="18" customHeight="1">
      <c r="A10" s="62"/>
      <c r="B10" s="7"/>
      <c r="C10" s="7"/>
      <c r="D10" s="97"/>
      <c r="E10" s="97"/>
      <c r="G10" s="100"/>
      <c r="H10" s="38">
        <f t="shared" si="0"/>
        <v>0</v>
      </c>
      <c r="I10" s="68"/>
      <c r="J10" s="97"/>
      <c r="K10" s="97"/>
      <c r="L10" s="97"/>
      <c r="M10" s="97" t="s">
        <v>470</v>
      </c>
      <c r="N10" s="97"/>
    </row>
    <row r="11" spans="1:13" ht="18.75">
      <c r="A11" s="61"/>
      <c r="B11" s="97"/>
      <c r="C11" s="7" t="s">
        <v>86</v>
      </c>
      <c r="D11" s="97"/>
      <c r="E11" s="97"/>
      <c r="G11" s="99">
        <f>0.82*'Dét. échoppes'!$J$1</f>
        <v>1.394</v>
      </c>
      <c r="H11" s="38">
        <f t="shared" si="0"/>
        <v>0</v>
      </c>
      <c r="I11" s="39"/>
      <c r="M11" s="97" t="s">
        <v>471</v>
      </c>
    </row>
    <row r="12" spans="1:13" ht="18.75">
      <c r="A12" s="83">
        <f>A8</f>
        <v>0</v>
      </c>
      <c r="B12" s="7"/>
      <c r="C12" s="7" t="s">
        <v>441</v>
      </c>
      <c r="D12" s="97"/>
      <c r="E12" s="97"/>
      <c r="G12" s="99">
        <f>1.25*'Dét. échoppes'!$J$1</f>
        <v>2.125</v>
      </c>
      <c r="H12" s="38">
        <f t="shared" si="0"/>
        <v>0</v>
      </c>
      <c r="I12" s="39"/>
      <c r="M12" s="97" t="s">
        <v>472</v>
      </c>
    </row>
    <row r="13" spans="1:13" ht="18.75">
      <c r="A13" s="83"/>
      <c r="B13" s="7"/>
      <c r="C13" s="7" t="s">
        <v>311</v>
      </c>
      <c r="D13" s="97"/>
      <c r="E13" s="97"/>
      <c r="G13" s="99">
        <v>4.4</v>
      </c>
      <c r="H13" s="38">
        <f t="shared" si="0"/>
        <v>0</v>
      </c>
      <c r="I13" s="39"/>
      <c r="M13" s="97" t="s">
        <v>473</v>
      </c>
    </row>
    <row r="14" spans="1:13" ht="18.75">
      <c r="A14" s="61"/>
      <c r="B14" s="7"/>
      <c r="C14" s="7" t="s">
        <v>476</v>
      </c>
      <c r="D14" s="97"/>
      <c r="E14" s="97"/>
      <c r="G14" s="99">
        <v>5.4</v>
      </c>
      <c r="H14" s="38">
        <f>G14*A14</f>
        <v>0</v>
      </c>
      <c r="I14" s="39"/>
      <c r="M14" s="97" t="s">
        <v>474</v>
      </c>
    </row>
    <row r="15" spans="1:13" ht="18.75">
      <c r="A15" s="61"/>
      <c r="B15" s="7"/>
      <c r="C15" s="101" t="s">
        <v>498</v>
      </c>
      <c r="D15" s="97"/>
      <c r="E15" s="97"/>
      <c r="G15" s="99">
        <v>1</v>
      </c>
      <c r="H15" s="38"/>
      <c r="I15" s="39"/>
      <c r="M15" s="89" t="s">
        <v>475</v>
      </c>
    </row>
    <row r="16" spans="1:13" ht="18.75">
      <c r="A16" s="61"/>
      <c r="B16" s="7"/>
      <c r="C16" s="101" t="s">
        <v>497</v>
      </c>
      <c r="D16" s="97"/>
      <c r="E16" s="97"/>
      <c r="G16" s="99">
        <v>1.5</v>
      </c>
      <c r="H16" s="38"/>
      <c r="I16" s="39"/>
      <c r="M16" s="97"/>
    </row>
    <row r="17" spans="1:9" ht="25.5">
      <c r="A17" s="59" t="s">
        <v>88</v>
      </c>
      <c r="B17" s="62"/>
      <c r="C17" s="66"/>
      <c r="G17" s="66"/>
      <c r="H17" s="38"/>
      <c r="I17" s="39">
        <f>SUM(H19:H24)</f>
        <v>0</v>
      </c>
    </row>
    <row r="18" spans="7:9" ht="18.75">
      <c r="G18" s="38"/>
      <c r="H18" s="38">
        <f>G18*A18</f>
        <v>0</v>
      </c>
      <c r="I18" s="39"/>
    </row>
    <row r="19" spans="1:9" ht="18.75">
      <c r="A19" s="61"/>
      <c r="C19" s="101" t="s">
        <v>89</v>
      </c>
      <c r="G19" s="38">
        <v>600</v>
      </c>
      <c r="H19" s="38">
        <f aca="true" t="shared" si="1" ref="H19:H24">G19*A19</f>
        <v>0</v>
      </c>
      <c r="I19" s="39"/>
    </row>
    <row r="20" spans="7:9" ht="18.75">
      <c r="G20" s="38"/>
      <c r="H20" s="38">
        <f t="shared" si="1"/>
        <v>0</v>
      </c>
      <c r="I20" s="39"/>
    </row>
    <row r="21" spans="1:9" ht="18.75">
      <c r="A21" s="61"/>
      <c r="C21" t="s">
        <v>91</v>
      </c>
      <c r="G21" s="38">
        <v>100</v>
      </c>
      <c r="H21" s="38">
        <f t="shared" si="1"/>
        <v>0</v>
      </c>
      <c r="I21" s="39"/>
    </row>
    <row r="22" spans="7:9" ht="18.75">
      <c r="G22" s="38"/>
      <c r="H22" s="38">
        <f t="shared" si="1"/>
        <v>0</v>
      </c>
      <c r="I22" s="39"/>
    </row>
    <row r="23" spans="1:8" ht="12.75">
      <c r="A23" s="58"/>
      <c r="C23" t="s">
        <v>534</v>
      </c>
      <c r="G23" s="38">
        <v>250</v>
      </c>
      <c r="H23" s="38"/>
    </row>
    <row r="24" spans="7:8" ht="12.75">
      <c r="G24" s="38"/>
      <c r="H24" s="38">
        <f t="shared" si="1"/>
        <v>0</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1:L43"/>
  <sheetViews>
    <sheetView showGridLines="0" showZeros="0" zoomScalePageLayoutView="0" workbookViewId="0" topLeftCell="A1">
      <selection activeCell="G2" sqref="G2"/>
    </sheetView>
  </sheetViews>
  <sheetFormatPr defaultColWidth="11.421875" defaultRowHeight="12.75"/>
  <sheetData>
    <row r="1" spans="2:12" ht="25.5">
      <c r="B1" s="84" t="s">
        <v>163</v>
      </c>
      <c r="G1" s="54" t="s">
        <v>164</v>
      </c>
      <c r="H1" s="54">
        <f>'Page de garde'!B3</f>
        <v>0</v>
      </c>
      <c r="I1" s="54" t="s">
        <v>165</v>
      </c>
      <c r="J1" s="92">
        <f>'Page de garde'!G7</f>
        <v>45071</v>
      </c>
      <c r="K1" s="54" t="s">
        <v>166</v>
      </c>
      <c r="L1">
        <f>'Page de garde'!G6</f>
        <v>0</v>
      </c>
    </row>
    <row r="3" spans="2:8" ht="12.75">
      <c r="B3" s="23">
        <v>0.3333333333333333</v>
      </c>
      <c r="H3" s="23">
        <v>0.75</v>
      </c>
    </row>
    <row r="4" spans="2:8" ht="12.75">
      <c r="B4" s="23">
        <v>0.34375</v>
      </c>
      <c r="H4" s="23">
        <v>0.760416666666667</v>
      </c>
    </row>
    <row r="5" spans="2:8" ht="12.75">
      <c r="B5" s="23">
        <v>0.3541666666666667</v>
      </c>
      <c r="H5" s="23">
        <v>0.770833333333334</v>
      </c>
    </row>
    <row r="6" spans="2:8" ht="12.75">
      <c r="B6" s="23">
        <v>0.364583333333333</v>
      </c>
      <c r="H6" s="23">
        <v>0.78125</v>
      </c>
    </row>
    <row r="7" spans="2:8" ht="12.75">
      <c r="B7" s="23">
        <v>0.375</v>
      </c>
      <c r="H7" s="23">
        <v>0.791666666666667</v>
      </c>
    </row>
    <row r="8" spans="2:8" ht="12.75">
      <c r="B8" s="23">
        <v>0.385416666666667</v>
      </c>
      <c r="H8" s="23">
        <v>0.802083333333334</v>
      </c>
    </row>
    <row r="9" spans="2:8" ht="12.75">
      <c r="B9" s="23">
        <v>0.395833333333333</v>
      </c>
      <c r="H9" s="23">
        <v>0.812500000000001</v>
      </c>
    </row>
    <row r="10" spans="2:8" ht="12.75">
      <c r="B10" s="23">
        <v>0.40625</v>
      </c>
      <c r="H10" s="23">
        <v>0.822916666666667</v>
      </c>
    </row>
    <row r="11" spans="2:8" ht="12.75">
      <c r="B11" s="23">
        <v>0.416666666666667</v>
      </c>
      <c r="H11" s="23">
        <v>0.833333333333334</v>
      </c>
    </row>
    <row r="12" spans="2:8" ht="12.75">
      <c r="B12" s="23">
        <v>0.427083333333333</v>
      </c>
      <c r="H12" s="23">
        <v>0.843750000000001</v>
      </c>
    </row>
    <row r="13" spans="2:8" ht="12.75">
      <c r="B13" s="23">
        <v>0.4375</v>
      </c>
      <c r="H13" s="23">
        <v>0.854166666666667</v>
      </c>
    </row>
    <row r="14" spans="2:8" ht="12.75">
      <c r="B14" s="23">
        <v>0.447916666666667</v>
      </c>
      <c r="H14" s="23">
        <v>0.864583333333334</v>
      </c>
    </row>
    <row r="15" spans="2:8" ht="12.75">
      <c r="B15" s="23">
        <v>0.458333333333333</v>
      </c>
      <c r="H15" s="23">
        <v>0.875000000000001</v>
      </c>
    </row>
    <row r="16" spans="2:8" ht="12.75">
      <c r="B16" s="23">
        <v>0.46875</v>
      </c>
      <c r="H16" s="23">
        <v>0.885416666666667</v>
      </c>
    </row>
    <row r="17" spans="2:8" ht="12.75">
      <c r="B17" s="23">
        <v>0.479166666666667</v>
      </c>
      <c r="H17" s="23">
        <v>0.895833333333334</v>
      </c>
    </row>
    <row r="18" spans="2:8" ht="12.75">
      <c r="B18" s="23">
        <v>0.489583333333333</v>
      </c>
      <c r="H18" s="23">
        <v>0.906250000000001</v>
      </c>
    </row>
    <row r="19" spans="2:8" ht="12.75">
      <c r="B19" s="23">
        <v>0.5</v>
      </c>
      <c r="H19" s="23">
        <v>0.916666666666667</v>
      </c>
    </row>
    <row r="20" spans="2:8" ht="12.75">
      <c r="B20" s="23">
        <v>0.510416666666667</v>
      </c>
      <c r="H20" s="23">
        <v>0.927083333333334</v>
      </c>
    </row>
    <row r="21" spans="2:8" ht="12.75">
      <c r="B21" s="23">
        <v>0.520833333333333</v>
      </c>
      <c r="H21" s="23">
        <v>0.937500000000001</v>
      </c>
    </row>
    <row r="22" spans="2:8" ht="12.75">
      <c r="B22" s="23">
        <v>0.53125</v>
      </c>
      <c r="H22" s="23">
        <v>0.947916666666667</v>
      </c>
    </row>
    <row r="23" spans="2:8" ht="12.75">
      <c r="B23" s="23">
        <v>0.541666666666667</v>
      </c>
      <c r="H23" s="23">
        <v>0.958333333333334</v>
      </c>
    </row>
    <row r="24" spans="2:8" ht="12.75">
      <c r="B24" s="23">
        <v>0.552083333333333</v>
      </c>
      <c r="H24" s="23">
        <v>0.968750000000001</v>
      </c>
    </row>
    <row r="25" spans="2:8" ht="12.75">
      <c r="B25" s="23">
        <v>0.5625</v>
      </c>
      <c r="H25" s="23">
        <v>0.979166666666667</v>
      </c>
    </row>
    <row r="26" spans="2:8" ht="12.75">
      <c r="B26" s="23">
        <v>0.572916666666667</v>
      </c>
      <c r="H26" s="23">
        <v>0.989583333333334</v>
      </c>
    </row>
    <row r="27" spans="2:8" ht="12.75">
      <c r="B27" s="23">
        <v>0.583333333333333</v>
      </c>
      <c r="H27" s="23">
        <v>1</v>
      </c>
    </row>
    <row r="28" spans="2:8" ht="12.75">
      <c r="B28" s="23">
        <v>0.59375</v>
      </c>
      <c r="H28" s="23">
        <v>1.01041666666667</v>
      </c>
    </row>
    <row r="29" spans="2:8" ht="12.75">
      <c r="B29" s="23">
        <v>0.604166666666667</v>
      </c>
      <c r="H29" s="23">
        <v>1.02083333333333</v>
      </c>
    </row>
    <row r="30" spans="2:8" ht="12.75">
      <c r="B30" s="23">
        <v>0.614583333333333</v>
      </c>
      <c r="H30" s="23">
        <v>1.03125</v>
      </c>
    </row>
    <row r="31" spans="2:8" ht="12.75">
      <c r="B31" s="23">
        <v>0.625</v>
      </c>
      <c r="H31" s="23">
        <v>1.04166666666667</v>
      </c>
    </row>
    <row r="32" spans="2:8" ht="12.75">
      <c r="B32" s="23">
        <v>0.635416666666667</v>
      </c>
      <c r="H32" s="23">
        <v>1.05208333333333</v>
      </c>
    </row>
    <row r="33" spans="2:8" ht="12.75">
      <c r="B33" s="23">
        <v>0.645833333333334</v>
      </c>
      <c r="H33" s="23">
        <v>1.0625</v>
      </c>
    </row>
    <row r="34" spans="2:8" ht="12.75">
      <c r="B34" s="23">
        <v>0.65625</v>
      </c>
      <c r="H34" s="23">
        <v>1.07291666666667</v>
      </c>
    </row>
    <row r="35" spans="2:8" ht="12.75">
      <c r="B35" s="23">
        <v>0.666666666666667</v>
      </c>
      <c r="H35" s="23">
        <v>1.08333333333333</v>
      </c>
    </row>
    <row r="36" spans="2:8" ht="12.75">
      <c r="B36" s="23">
        <v>0.677083333333334</v>
      </c>
      <c r="H36" s="23">
        <v>1.09375</v>
      </c>
    </row>
    <row r="37" spans="2:8" ht="12.75">
      <c r="B37" s="23">
        <v>0.6875</v>
      </c>
      <c r="H37" s="23">
        <v>1.10416666666667</v>
      </c>
    </row>
    <row r="38" spans="2:8" ht="12.75">
      <c r="B38" s="23">
        <v>0.697916666666667</v>
      </c>
      <c r="H38" s="23">
        <v>1.11458333333333</v>
      </c>
    </row>
    <row r="39" spans="2:8" ht="12.75">
      <c r="B39" s="23">
        <v>0.708333333333334</v>
      </c>
      <c r="H39" s="23">
        <v>1.125</v>
      </c>
    </row>
    <row r="40" spans="2:8" ht="12.75">
      <c r="B40" s="23">
        <v>0.71875</v>
      </c>
      <c r="H40" s="23">
        <v>1.13541666666667</v>
      </c>
    </row>
    <row r="41" spans="2:8" ht="12.75">
      <c r="B41" s="23">
        <v>0.729166666666667</v>
      </c>
      <c r="H41" s="23">
        <v>1.14583333333333</v>
      </c>
    </row>
    <row r="42" spans="2:8" ht="12.75">
      <c r="B42" s="23">
        <v>0.739583333333334</v>
      </c>
      <c r="H42" s="23">
        <v>0.16666666666666666</v>
      </c>
    </row>
    <row r="43" ht="12.75">
      <c r="B43" s="23"/>
    </row>
  </sheetData>
  <sheetProtection/>
  <printOptions/>
  <pageMargins left="0.2" right="0.2" top="0.1701388888888889" bottom="0.1597222222222222"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Joël BERNARD</cp:lastModifiedBy>
  <cp:lastPrinted>2018-01-06T12:22:10Z</cp:lastPrinted>
  <dcterms:created xsi:type="dcterms:W3CDTF">2011-01-19T11:26:25Z</dcterms:created>
  <dcterms:modified xsi:type="dcterms:W3CDTF">2023-05-25T06:15:16Z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